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fandskago2\Desktop\"/>
    </mc:Choice>
  </mc:AlternateContent>
  <xr:revisionPtr revIDLastSave="0" documentId="8_{C98C0C56-4552-4AE2-BD16-0EE14C85DA1B}" xr6:coauthVersionLast="47" xr6:coauthVersionMax="47" xr10:uidLastSave="{00000000-0000-0000-0000-000000000000}"/>
  <bookViews>
    <workbookView xWindow="2385" yWindow="630" windowWidth="25080" windowHeight="16410" tabRatio="485" xr2:uid="{00000000-000D-0000-FFFF-FFFF00000000}"/>
  </bookViews>
  <sheets>
    <sheet name="CC Projects" sheetId="1" r:id="rId1"/>
    <sheet name="Matching to PRV System " sheetId="3" r:id="rId2"/>
    <sheet name="Carbon Credits Sol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4" l="1"/>
  <c r="F21" i="4" s="1"/>
  <c r="F20" i="4"/>
  <c r="D20" i="4"/>
  <c r="D19" i="4"/>
  <c r="D18" i="4"/>
  <c r="C14" i="4"/>
  <c r="E14" i="4"/>
  <c r="G37" i="1"/>
  <c r="I37" i="1"/>
  <c r="H23" i="3"/>
  <c r="E23" i="3"/>
  <c r="I35" i="1"/>
  <c r="I34" i="1" l="1"/>
  <c r="G12" i="3" l="1"/>
  <c r="G23" i="3" s="1"/>
  <c r="F12" i="3"/>
  <c r="F23" i="3" s="1"/>
  <c r="I32" i="1"/>
  <c r="I36" i="1" l="1"/>
  <c r="I33" i="1"/>
  <c r="F13" i="4" l="1"/>
  <c r="F12" i="4"/>
  <c r="F11" i="4"/>
  <c r="F10" i="4"/>
  <c r="F9" i="4"/>
  <c r="F8" i="4"/>
  <c r="D7" i="4"/>
  <c r="F7" i="4" s="1"/>
  <c r="F6" i="4"/>
  <c r="E6" i="4"/>
  <c r="E7" i="4" s="1"/>
  <c r="E8" i="4" s="1"/>
  <c r="E9" i="4" s="1"/>
  <c r="E10" i="4" s="1"/>
  <c r="E11" i="4" s="1"/>
  <c r="E12" i="4" s="1"/>
  <c r="E13" i="4" s="1"/>
  <c r="F19" i="4" l="1"/>
  <c r="F18" i="4"/>
  <c r="H42" i="3" l="1"/>
  <c r="G42" i="3"/>
  <c r="F42" i="3"/>
  <c r="E42" i="3"/>
  <c r="I31" i="1"/>
  <c r="I30" i="1" l="1"/>
  <c r="I29" i="1" l="1"/>
  <c r="I27" i="1"/>
  <c r="H30" i="3"/>
  <c r="G30" i="3"/>
  <c r="F30" i="3"/>
  <c r="E30" i="3"/>
  <c r="I26" i="1" l="1"/>
  <c r="I24" i="1"/>
  <c r="I23" i="1"/>
  <c r="I22" i="1"/>
  <c r="I21" i="1"/>
  <c r="I20" i="1"/>
  <c r="I19" i="1"/>
  <c r="I18" i="1"/>
  <c r="I17" i="1"/>
  <c r="I15" i="1" l="1"/>
  <c r="L4" i="1"/>
  <c r="G4" i="1"/>
  <c r="F16" i="1"/>
  <c r="I16" i="1" s="1"/>
  <c r="F12" i="1"/>
  <c r="F5" i="1"/>
  <c r="F8" i="1"/>
  <c r="F9" i="1"/>
  <c r="I5" i="1"/>
  <c r="K4" i="1"/>
  <c r="I8" i="1"/>
  <c r="I9" i="1"/>
  <c r="J9" i="1" s="1"/>
  <c r="J6" i="1"/>
  <c r="J7" i="1"/>
  <c r="J10" i="1"/>
  <c r="K5" i="1" l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G5" i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L5" i="1"/>
  <c r="L6" i="1" s="1"/>
  <c r="L7" i="1" s="1"/>
  <c r="K23" i="1" l="1"/>
  <c r="L8" i="1"/>
  <c r="L9" i="1" s="1"/>
  <c r="L10" i="1" s="1"/>
  <c r="L11" i="1" s="1"/>
  <c r="L12" i="1" s="1"/>
  <c r="L13" i="1" s="1"/>
  <c r="L14" i="1" s="1"/>
  <c r="L15" i="1" s="1"/>
  <c r="K24" i="1" l="1"/>
  <c r="K25" i="1" s="1"/>
  <c r="K26" i="1" s="1"/>
  <c r="K27" i="1" s="1"/>
  <c r="K28" i="1" s="1"/>
  <c r="K29" i="1" s="1"/>
  <c r="K30" i="1" s="1"/>
  <c r="K31" i="1" s="1"/>
  <c r="G26" i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L16" i="1"/>
  <c r="L17" i="1" s="1"/>
  <c r="L18" i="1" s="1"/>
  <c r="L19" i="1" s="1"/>
  <c r="L20" i="1" s="1"/>
  <c r="L21" i="1" s="1"/>
  <c r="L22" i="1" s="1"/>
  <c r="K32" i="1" l="1"/>
  <c r="K33" i="1" s="1"/>
  <c r="K34" i="1" s="1"/>
  <c r="K35" i="1" s="1"/>
  <c r="K36" i="1" s="1"/>
  <c r="L23" i="1"/>
  <c r="L24" i="1" l="1"/>
  <c r="L25" i="1" s="1"/>
  <c r="L26" i="1" s="1"/>
  <c r="L27" i="1" s="1"/>
  <c r="L28" i="1" s="1"/>
  <c r="L29" i="1" s="1"/>
  <c r="L30" i="1" s="1"/>
  <c r="L31" i="1" l="1"/>
  <c r="L32" i="1" s="1"/>
  <c r="L33" i="1" s="1"/>
  <c r="L34" i="1" s="1"/>
  <c r="L35" i="1" s="1"/>
  <c r="L3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Hoey</author>
  </authors>
  <commentList>
    <comment ref="E4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Andrea Hoey:</t>
        </r>
        <r>
          <rPr>
            <sz val="9"/>
            <color indexed="81"/>
            <rFont val="Tahoma"/>
            <family val="2"/>
          </rPr>
          <t xml:space="preserve">
for this tie out only, I show like revenue received.  We booked/transferred the commitment differently as it was our funds not revenue received from outside.  To F&amp;S it is all revenue</t>
        </r>
      </text>
    </comment>
  </commentList>
</comments>
</file>

<file path=xl/sharedStrings.xml><?xml version="1.0" encoding="utf-8"?>
<sst xmlns="http://schemas.openxmlformats.org/spreadsheetml/2006/main" count="316" uniqueCount="176">
  <si>
    <t>Description</t>
  </si>
  <si>
    <t>Amount (Revenue)</t>
  </si>
  <si>
    <t>Running Balance</t>
  </si>
  <si>
    <t>Campus match at 50%</t>
  </si>
  <si>
    <t>Revolving Loan Fund Transfer</t>
  </si>
  <si>
    <t>Carbon Credit (CC) Sales and Expenditures</t>
  </si>
  <si>
    <t>Status</t>
  </si>
  <si>
    <t>Complete</t>
  </si>
  <si>
    <t>iSEE Biomass Boiler</t>
  </si>
  <si>
    <t>Sale of CCs to Chevy, 7/2012 to 6/2014</t>
  </si>
  <si>
    <t>Start up costs for Second Nature brokerage of future CC sales</t>
  </si>
  <si>
    <t>Commission and verification costs for sale of CCs through Dec. 2015</t>
  </si>
  <si>
    <t>Estimated Transaction Date</t>
  </si>
  <si>
    <t>Email Approval Date</t>
  </si>
  <si>
    <t>Completed with sale above</t>
  </si>
  <si>
    <t>per MOU</t>
  </si>
  <si>
    <t>2017-05</t>
  </si>
  <si>
    <t>Sale of 102,991 CCs to BPTN, 7/2014 to 12/2015 @$7.75/CC</t>
  </si>
  <si>
    <t>PRV140216-4</t>
  </si>
  <si>
    <t>PRV140216-6</t>
  </si>
  <si>
    <t>PRV140216-1</t>
  </si>
  <si>
    <t>PRV140216-10</t>
  </si>
  <si>
    <t>PRV140216-11</t>
  </si>
  <si>
    <t>PRV140216-12</t>
  </si>
  <si>
    <t>PRV140216-13</t>
  </si>
  <si>
    <t>Project Planning</t>
  </si>
  <si>
    <t>Committed vs Transferred</t>
  </si>
  <si>
    <t>Committed</t>
  </si>
  <si>
    <t xml:space="preserve">Transferred </t>
  </si>
  <si>
    <t>Unfunded Commitments</t>
  </si>
  <si>
    <t>Balance for Projects</t>
  </si>
  <si>
    <t>Approved the Virtual storeroom, 10,000 CCs at $3/CC</t>
  </si>
  <si>
    <t>BPTN purchased 18,330 CCs (from calendar year 2016), at $6.75/CC</t>
  </si>
  <si>
    <t>Purchase of 103,000 replacement CCs,7/2014 to 12/2015, and 18,330 CCs from CY16, @$0.40/CC</t>
  </si>
  <si>
    <t>n/a</t>
  </si>
  <si>
    <t>sale of (56,118-18,330 =) 37,788 CCs for 1/2016 to 12/2016, @ $6.25/CC</t>
  </si>
  <si>
    <t>2017-12</t>
  </si>
  <si>
    <t>Carbon Credit remaining 37,788 CCs through December</t>
  </si>
  <si>
    <t>1 Year</t>
  </si>
  <si>
    <t>Active</t>
  </si>
  <si>
    <t>Carbon Credit Sale (56,118) Through December 2016</t>
  </si>
  <si>
    <t>PRV140216-14</t>
  </si>
  <si>
    <t>Completed</t>
  </si>
  <si>
    <t>Tree Inventory</t>
  </si>
  <si>
    <t>Purchase costs of replacement Carbon Credits</t>
  </si>
  <si>
    <t>Second Nature Start Up costs for future CC sales</t>
  </si>
  <si>
    <t>Project budget from Sale of Carbon Credits - Second Nature</t>
  </si>
  <si>
    <t>PRV140216-9</t>
  </si>
  <si>
    <t>2 Years</t>
  </si>
  <si>
    <t>Revenue from Sale Of University Carbon Credits - Second Nature</t>
  </si>
  <si>
    <t>PRV140216-7</t>
  </si>
  <si>
    <t>iSEE/F&amp;S BioMass Boiler Project</t>
  </si>
  <si>
    <t>Sale of Univ Carbon Credits - Chevy/Bonneville</t>
  </si>
  <si>
    <t>PRV140216-5</t>
  </si>
  <si>
    <t>Revolving Loan Fund investment</t>
  </si>
  <si>
    <t>ISEE - Academic Hourly Position</t>
  </si>
  <si>
    <t>Revenue from Sale Of Univ Carb Credits to Chevy</t>
  </si>
  <si>
    <t>PRV140216-2</t>
  </si>
  <si>
    <t>Match Sale Of Univ Carbon Credits</t>
  </si>
  <si>
    <t>Projected</t>
  </si>
  <si>
    <t xml:space="preserve">Committed </t>
  </si>
  <si>
    <t>Transferred</t>
  </si>
  <si>
    <t>CC Sales PRVs</t>
  </si>
  <si>
    <t>uncommitted revenues held in reserve</t>
  </si>
  <si>
    <t>Balance</t>
  </si>
  <si>
    <t>Approved Funding Awaiting Transfer</t>
  </si>
  <si>
    <t>(I copied these over from the Parent Commitment summary page)</t>
  </si>
  <si>
    <t>Cancelled</t>
  </si>
  <si>
    <t>2018-03</t>
  </si>
  <si>
    <t>2018-04</t>
  </si>
  <si>
    <t>Ac Hourly at iSEE for spring 2014 semester for CGOP</t>
  </si>
  <si>
    <t>2018-10</t>
  </si>
  <si>
    <t>Sale of 1,075 CCs to BEF @ $6.25/CC</t>
  </si>
  <si>
    <t>iCAP Portal</t>
  </si>
  <si>
    <t>FY15</t>
  </si>
  <si>
    <t>FY16</t>
  </si>
  <si>
    <t>FY17</t>
  </si>
  <si>
    <t>FY18</t>
  </si>
  <si>
    <t>Green Restaurant Certification - start up costs</t>
  </si>
  <si>
    <t>2018-11</t>
  </si>
  <si>
    <t>2018-09</t>
  </si>
  <si>
    <t>2018-12</t>
  </si>
  <si>
    <t>Geothermal monitoring station on Bardeen Quad</t>
  </si>
  <si>
    <t>iCAP Portal FY19 improvement work at MSTE</t>
  </si>
  <si>
    <t>PRV190027-2</t>
  </si>
  <si>
    <t>PRV190027-1</t>
  </si>
  <si>
    <t>PRV190027-3</t>
  </si>
  <si>
    <t>PRV140216-8</t>
  </si>
  <si>
    <t>PRV190027-4</t>
  </si>
  <si>
    <t>PRV190027-5</t>
  </si>
  <si>
    <t>PRV190027-6</t>
  </si>
  <si>
    <t>UnFunded</t>
  </si>
  <si>
    <t>Green Restaurant Certification Pilot</t>
  </si>
  <si>
    <t>Solar Farm 2.0 Legal Costs</t>
  </si>
  <si>
    <t>4 Years</t>
  </si>
  <si>
    <t>October CC sale of 1075 Carbon Credits</t>
  </si>
  <si>
    <t>Geothermal characterization/monitoring station on John Bardeen Quad</t>
  </si>
  <si>
    <t>iCAP Portal update</t>
  </si>
  <si>
    <t>Energy Piles at Hydrosystems Lab</t>
  </si>
  <si>
    <t>FY reporting</t>
  </si>
  <si>
    <t>2019-02</t>
  </si>
  <si>
    <t>Sale of 2,865 CCs to BPTN @ $6.25/CC</t>
  </si>
  <si>
    <t>2019-03</t>
  </si>
  <si>
    <t>FY19</t>
  </si>
  <si>
    <t>Sale of 45,450 CCs to Bluesource @ $4.00/CC</t>
  </si>
  <si>
    <t>2019-12</t>
  </si>
  <si>
    <t>2020-04</t>
  </si>
  <si>
    <t>Solar Farm 2.0 preliminary legal costs</t>
  </si>
  <si>
    <t>Ethics training video development</t>
  </si>
  <si>
    <t>Solar Farm 3.0 energy advisor - Customer First Renewables</t>
  </si>
  <si>
    <t>2020-05</t>
  </si>
  <si>
    <t>PRV140216-15</t>
  </si>
  <si>
    <t>Energy Piles at Hydro-Systems Lab</t>
  </si>
  <si>
    <t>Dec 2019 CC sale</t>
  </si>
  <si>
    <t>PRV190027-8</t>
  </si>
  <si>
    <t>Jan 2019 CC sale of vintage 2017 carbon credits</t>
  </si>
  <si>
    <t>PRV190027-7</t>
  </si>
  <si>
    <t>PRV140216-16</t>
  </si>
  <si>
    <t>Ethics Training Video Development</t>
  </si>
  <si>
    <t>PRV140216-17</t>
  </si>
  <si>
    <t>iCAP Portal updates FY20-23</t>
  </si>
  <si>
    <t>2020-06</t>
  </si>
  <si>
    <t>Approved</t>
  </si>
  <si>
    <t>FY20</t>
  </si>
  <si>
    <t>Outdoor recycling bins</t>
  </si>
  <si>
    <t>2020-08</t>
  </si>
  <si>
    <t>PRV140216-19</t>
  </si>
  <si>
    <t>PRV140216-18</t>
  </si>
  <si>
    <t>4 Year</t>
  </si>
  <si>
    <t>Subcommitment list as of 08.24.2020</t>
  </si>
  <si>
    <t>x ties to tab one</t>
  </si>
  <si>
    <t>Carbon Credits - 1-1000FY-236001-120000-236208</t>
  </si>
  <si>
    <t>PRV190027-9</t>
  </si>
  <si>
    <t>Remainder of UIUC's vintage 2017 credits to BPTN</t>
  </si>
  <si>
    <t>2020-09</t>
  </si>
  <si>
    <t>PRV140216-20</t>
  </si>
  <si>
    <t>Building Envelope Pilot Project - SSC matching funds</t>
  </si>
  <si>
    <t>2020-12</t>
  </si>
  <si>
    <t>2021-02</t>
  </si>
  <si>
    <t>Building Envelope Pilot Project</t>
  </si>
  <si>
    <t>description of transaction</t>
  </si>
  <si>
    <t>cost of CC</t>
  </si>
  <si>
    <t># of CC's sold / (purchased)</t>
  </si>
  <si>
    <t>balance of CCs sold</t>
  </si>
  <si>
    <t>Revenue / (Cost)</t>
  </si>
  <si>
    <t>Sale of 46,299 CCs from 2017 to BTPN @4.00/CC</t>
  </si>
  <si>
    <t>possible costs for replacement Carbon Offsets:</t>
  </si>
  <si>
    <t>scenario - if they are the same price as last time</t>
  </si>
  <si>
    <t>if they are twice as expensive</t>
  </si>
  <si>
    <t>Remainder of UIUC's vintage 2017 credits (46,299 CCs) to BPTN, at $4.00/CC</t>
  </si>
  <si>
    <t>FY21</t>
  </si>
  <si>
    <t>iCAP Portal updates FY20-23 (FY20)</t>
  </si>
  <si>
    <t>iCAP Portal updates FY20-23 (FY21)</t>
  </si>
  <si>
    <t>iCAP Portal updates FY20-23 (FY22)</t>
  </si>
  <si>
    <t>iCAP Portal updates FY20-23 (FY23)</t>
  </si>
  <si>
    <t>FY22</t>
  </si>
  <si>
    <t>FY23</t>
  </si>
  <si>
    <t>Energy Piles at Hydrosystems Lab - recovery</t>
  </si>
  <si>
    <t xml:space="preserve">Resilience Development </t>
  </si>
  <si>
    <t>2021-09</t>
  </si>
  <si>
    <t>PRV140216-21</t>
  </si>
  <si>
    <t>Resilience Development</t>
  </si>
  <si>
    <t>2021-12</t>
  </si>
  <si>
    <t>PRV140216-22</t>
  </si>
  <si>
    <t>Grind2Energy system</t>
  </si>
  <si>
    <t>x ties to PRV; Carbon Credits - 1-1000FY-236001-120000-236208 Banner balance as of 09.12.2022 (FY22)</t>
  </si>
  <si>
    <t>FY23 transfer initiated for Sept'22 business; Banner balance will match PRV balance once transfer is posted</t>
  </si>
  <si>
    <t>2023-01</t>
  </si>
  <si>
    <t>Note, the math is being checked with Second Nature</t>
  </si>
  <si>
    <t>Sales of 115,836 CCs through Second Nature</t>
  </si>
  <si>
    <t>if they cost $3.00 each</t>
  </si>
  <si>
    <t>if they cost $5.00 each</t>
  </si>
  <si>
    <t>Hold for replacement offsets</t>
  </si>
  <si>
    <t>Pending</t>
  </si>
  <si>
    <t>2023-04</t>
  </si>
  <si>
    <t>Sale of 115,836 CCs from 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</si>
</sst>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\-mm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11"/>
      <color rgb="FF333333"/>
      <name val="Segoe U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333333"/>
      <name val="Segoe UI"/>
      <family val="2"/>
    </font>
    <font>
      <strike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medium">
        <color rgb="FFDBDBDB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/>
    <xf numFmtId="44" fontId="0" fillId="0" borderId="0" xfId="1" applyFont="1"/>
    <xf numFmtId="0" fontId="0" fillId="0" borderId="0" xfId="0" applyFont="1"/>
    <xf numFmtId="0" fontId="2" fillId="0" borderId="0" xfId="0" applyFont="1" applyAlignment="1">
      <alignment wrapText="1"/>
    </xf>
    <xf numFmtId="44" fontId="2" fillId="0" borderId="0" xfId="1" applyFont="1" applyAlignment="1">
      <alignment wrapText="1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 wrapText="1"/>
    </xf>
    <xf numFmtId="164" fontId="0" fillId="0" borderId="0" xfId="0" applyNumberFormat="1" applyAlignment="1">
      <alignment horizontal="center"/>
    </xf>
    <xf numFmtId="164" fontId="0" fillId="0" borderId="0" xfId="0" applyNumberFormat="1" applyFont="1" applyAlignment="1">
      <alignment horizontal="center"/>
    </xf>
    <xf numFmtId="44" fontId="0" fillId="0" borderId="0" xfId="0" applyNumberFormat="1"/>
    <xf numFmtId="44" fontId="1" fillId="0" borderId="0" xfId="1" applyFont="1" applyFill="1"/>
    <xf numFmtId="44" fontId="4" fillId="0" borderId="0" xfId="1" applyFont="1" applyAlignment="1">
      <alignment horizontal="center"/>
    </xf>
    <xf numFmtId="0" fontId="0" fillId="0" borderId="0" xfId="0" applyFill="1"/>
    <xf numFmtId="0" fontId="3" fillId="0" borderId="0" xfId="0" applyFont="1" applyFill="1"/>
    <xf numFmtId="0" fontId="0" fillId="0" borderId="0" xfId="0" applyAlignment="1"/>
    <xf numFmtId="8" fontId="0" fillId="0" borderId="0" xfId="0" applyNumberFormat="1" applyAlignment="1"/>
    <xf numFmtId="0" fontId="2" fillId="0" borderId="0" xfId="0" applyFont="1" applyAlignment="1"/>
    <xf numFmtId="164" fontId="0" fillId="0" borderId="0" xfId="0" applyNumberFormat="1" applyFont="1" applyFill="1" applyAlignment="1">
      <alignment horizontal="center"/>
    </xf>
    <xf numFmtId="0" fontId="0" fillId="0" borderId="0" xfId="0" applyFont="1" applyFill="1"/>
    <xf numFmtId="3" fontId="0" fillId="0" borderId="0" xfId="0" applyNumberFormat="1"/>
    <xf numFmtId="44" fontId="2" fillId="0" borderId="0" xfId="1" applyFont="1"/>
    <xf numFmtId="44" fontId="2" fillId="0" borderId="0" xfId="1" applyFont="1" applyAlignment="1">
      <alignment horizontal="center" wrapText="1"/>
    </xf>
    <xf numFmtId="0" fontId="9" fillId="0" borderId="0" xfId="0" applyFont="1" applyFill="1"/>
    <xf numFmtId="0" fontId="2" fillId="3" borderId="0" xfId="0" applyFont="1" applyFill="1" applyAlignment="1"/>
    <xf numFmtId="0" fontId="0" fillId="3" borderId="0" xfId="0" applyFill="1"/>
    <xf numFmtId="0" fontId="5" fillId="4" borderId="1" xfId="0" applyFont="1" applyFill="1" applyBorder="1" applyAlignment="1">
      <alignment horizontal="left" vertical="center" wrapText="1" indent="1"/>
    </xf>
    <xf numFmtId="0" fontId="5" fillId="4" borderId="0" xfId="0" applyFont="1" applyFill="1" applyAlignment="1">
      <alignment horizontal="left" vertical="center" wrapText="1" indent="1"/>
    </xf>
    <xf numFmtId="8" fontId="5" fillId="4" borderId="0" xfId="0" applyNumberFormat="1" applyFont="1" applyFill="1" applyAlignment="1">
      <alignment horizontal="left" vertical="center" wrapText="1" indent="1"/>
    </xf>
    <xf numFmtId="0" fontId="5" fillId="0" borderId="1" xfId="0" applyFont="1" applyFill="1" applyBorder="1" applyAlignment="1">
      <alignment horizontal="left" vertical="center" wrapText="1" indent="1"/>
    </xf>
    <xf numFmtId="0" fontId="5" fillId="0" borderId="0" xfId="0" applyFont="1" applyFill="1" applyAlignment="1">
      <alignment horizontal="left" vertical="center" wrapText="1" indent="1"/>
    </xf>
    <xf numFmtId="8" fontId="5" fillId="0" borderId="0" xfId="0" applyNumberFormat="1" applyFont="1" applyFill="1" applyAlignment="1">
      <alignment horizontal="left" vertical="center" wrapText="1" indent="1"/>
    </xf>
    <xf numFmtId="8" fontId="8" fillId="0" borderId="0" xfId="0" applyNumberFormat="1" applyFont="1" applyFill="1" applyAlignment="1">
      <alignment horizontal="left" vertical="center" wrapText="1" indent="1"/>
    </xf>
    <xf numFmtId="0" fontId="5" fillId="0" borderId="0" xfId="0" applyFont="1" applyFill="1" applyBorder="1" applyAlignment="1">
      <alignment horizontal="left" vertical="center" wrapText="1" indent="1"/>
    </xf>
    <xf numFmtId="8" fontId="5" fillId="0" borderId="0" xfId="0" applyNumberFormat="1" applyFont="1" applyFill="1" applyBorder="1" applyAlignment="1">
      <alignment horizontal="left" vertical="center" wrapText="1" indent="1"/>
    </xf>
    <xf numFmtId="8" fontId="0" fillId="0" borderId="0" xfId="0" applyNumberFormat="1"/>
    <xf numFmtId="0" fontId="5" fillId="2" borderId="0" xfId="0" applyFont="1" applyFill="1" applyBorder="1" applyAlignment="1">
      <alignment horizontal="left" vertical="center" wrapText="1" indent="1"/>
    </xf>
    <xf numFmtId="0" fontId="5" fillId="2" borderId="0" xfId="0" applyFont="1" applyFill="1" applyAlignment="1">
      <alignment horizontal="left" vertical="center" wrapText="1" indent="1"/>
    </xf>
    <xf numFmtId="3" fontId="0" fillId="0" borderId="0" xfId="0" applyNumberFormat="1" applyFont="1" applyFill="1"/>
    <xf numFmtId="44" fontId="1" fillId="0" borderId="0" xfId="1" applyFont="1"/>
    <xf numFmtId="44" fontId="0" fillId="0" borderId="0" xfId="0" applyNumberFormat="1" applyFont="1"/>
    <xf numFmtId="44" fontId="0" fillId="0" borderId="0" xfId="0" applyNumberFormat="1" applyFont="1" applyFill="1"/>
    <xf numFmtId="3" fontId="3" fillId="0" borderId="0" xfId="0" applyNumberFormat="1" applyFont="1"/>
    <xf numFmtId="164" fontId="3" fillId="0" borderId="0" xfId="0" applyNumberFormat="1" applyFont="1" applyAlignment="1">
      <alignment horizontal="center"/>
    </xf>
    <xf numFmtId="0" fontId="3" fillId="0" borderId="0" xfId="0" applyFont="1"/>
    <xf numFmtId="44" fontId="3" fillId="0" borderId="0" xfId="1" applyFont="1"/>
    <xf numFmtId="164" fontId="10" fillId="0" borderId="0" xfId="0" applyNumberFormat="1" applyFont="1" applyFill="1" applyAlignment="1">
      <alignment horizontal="left"/>
    </xf>
    <xf numFmtId="0" fontId="10" fillId="0" borderId="0" xfId="0" applyFont="1" applyFill="1"/>
    <xf numFmtId="3" fontId="3" fillId="0" borderId="0" xfId="0" applyNumberFormat="1" applyFont="1" applyFill="1"/>
    <xf numFmtId="44" fontId="0" fillId="0" borderId="0" xfId="1" applyFont="1" applyFill="1"/>
    <xf numFmtId="164" fontId="0" fillId="0" borderId="0" xfId="0" applyNumberFormat="1" applyFill="1" applyAlignment="1">
      <alignment horizontal="center"/>
    </xf>
    <xf numFmtId="3" fontId="0" fillId="0" borderId="0" xfId="0" applyNumberFormat="1" applyFont="1"/>
    <xf numFmtId="44" fontId="4" fillId="0" borderId="0" xfId="1" applyFont="1" applyAlignment="1">
      <alignment horizontal="center"/>
    </xf>
    <xf numFmtId="0" fontId="0" fillId="5" borderId="0" xfId="0" applyFont="1" applyFill="1"/>
    <xf numFmtId="3" fontId="0" fillId="5" borderId="0" xfId="0" applyNumberFormat="1" applyFill="1"/>
    <xf numFmtId="164" fontId="0" fillId="5" borderId="0" xfId="0" applyNumberFormat="1" applyFill="1" applyAlignment="1">
      <alignment horizontal="center"/>
    </xf>
    <xf numFmtId="0" fontId="0" fillId="5" borderId="0" xfId="0" applyFill="1"/>
    <xf numFmtId="44" fontId="0" fillId="5" borderId="0" xfId="1" applyFont="1" applyFill="1"/>
    <xf numFmtId="44" fontId="2" fillId="5" borderId="0" xfId="1" applyFont="1" applyFill="1"/>
    <xf numFmtId="44" fontId="1" fillId="5" borderId="0" xfId="1" applyFont="1" applyFill="1"/>
    <xf numFmtId="44" fontId="0" fillId="5" borderId="0" xfId="0" applyNumberFormat="1" applyFill="1"/>
    <xf numFmtId="44" fontId="0" fillId="5" borderId="0" xfId="0" applyNumberFormat="1" applyFont="1" applyFill="1"/>
    <xf numFmtId="0" fontId="11" fillId="5" borderId="0" xfId="0" applyFont="1" applyFill="1"/>
    <xf numFmtId="3" fontId="0" fillId="5" borderId="0" xfId="0" applyNumberFormat="1" applyFont="1" applyFill="1"/>
    <xf numFmtId="164" fontId="0" fillId="5" borderId="0" xfId="0" applyNumberFormat="1" applyFont="1" applyFill="1" applyAlignment="1">
      <alignment horizontal="center"/>
    </xf>
    <xf numFmtId="0" fontId="3" fillId="5" borderId="0" xfId="0" applyFont="1" applyFill="1"/>
    <xf numFmtId="44" fontId="2" fillId="0" borderId="0" xfId="1" applyFont="1" applyAlignment="1">
      <alignment horizontal="center"/>
    </xf>
    <xf numFmtId="44" fontId="2" fillId="5" borderId="0" xfId="1" applyFont="1" applyFill="1" applyAlignment="1">
      <alignment horizontal="center"/>
    </xf>
    <xf numFmtId="44" fontId="2" fillId="0" borderId="0" xfId="1" applyFont="1" applyFill="1" applyAlignment="1">
      <alignment horizontal="center"/>
    </xf>
    <xf numFmtId="44" fontId="2" fillId="0" borderId="0" xfId="1" applyFont="1" applyFill="1" applyAlignment="1">
      <alignment horizontal="left"/>
    </xf>
    <xf numFmtId="44" fontId="2" fillId="0" borderId="0" xfId="0" applyNumberFormat="1" applyFont="1" applyFill="1"/>
    <xf numFmtId="44" fontId="0" fillId="0" borderId="0" xfId="0" applyNumberFormat="1" applyFill="1"/>
    <xf numFmtId="165" fontId="2" fillId="0" borderId="0" xfId="2" applyNumberFormat="1" applyFont="1" applyAlignment="1">
      <alignment horizontal="center" wrapText="1"/>
    </xf>
    <xf numFmtId="165" fontId="0" fillId="0" borderId="0" xfId="2" applyNumberFormat="1" applyFont="1"/>
    <xf numFmtId="3" fontId="0" fillId="0" borderId="0" xfId="0" applyNumberFormat="1" applyFill="1"/>
    <xf numFmtId="3" fontId="10" fillId="0" borderId="0" xfId="0" applyNumberFormat="1" applyFont="1" applyFill="1"/>
    <xf numFmtId="165" fontId="3" fillId="0" borderId="0" xfId="2" applyNumberFormat="1" applyFont="1"/>
    <xf numFmtId="8" fontId="0" fillId="0" borderId="0" xfId="0" applyNumberFormat="1" applyFill="1"/>
    <xf numFmtId="0" fontId="2" fillId="5" borderId="0" xfId="0" applyFont="1" applyFill="1"/>
    <xf numFmtId="44" fontId="2" fillId="5" borderId="0" xfId="0" applyNumberFormat="1" applyFont="1" applyFill="1"/>
    <xf numFmtId="0" fontId="11" fillId="0" borderId="0" xfId="0" applyFont="1" applyFill="1"/>
    <xf numFmtId="44" fontId="12" fillId="0" borderId="0" xfId="1" applyFont="1"/>
    <xf numFmtId="164" fontId="3" fillId="0" borderId="0" xfId="0" applyNumberFormat="1" applyFont="1" applyFill="1" applyAlignment="1">
      <alignment horizontal="center"/>
    </xf>
    <xf numFmtId="44" fontId="3" fillId="0" borderId="0" xfId="1" applyFont="1" applyFill="1"/>
    <xf numFmtId="44" fontId="10" fillId="0" borderId="0" xfId="1" applyFont="1" applyFill="1" applyAlignment="1">
      <alignment horizontal="center"/>
    </xf>
    <xf numFmtId="44" fontId="3" fillId="0" borderId="0" xfId="0" applyNumberFormat="1" applyFont="1"/>
    <xf numFmtId="44" fontId="3" fillId="0" borderId="0" xfId="0" applyNumberFormat="1" applyFont="1" applyFill="1"/>
    <xf numFmtId="44" fontId="10" fillId="0" borderId="0" xfId="0" applyNumberFormat="1" applyFont="1" applyFill="1"/>
    <xf numFmtId="0" fontId="10" fillId="0" borderId="0" xfId="0" applyFont="1"/>
    <xf numFmtId="44" fontId="4" fillId="0" borderId="0" xfId="1" applyFont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45"/>
  <sheetViews>
    <sheetView showGridLines="0" tabSelected="1" topLeftCell="A12" zoomScale="80" zoomScaleNormal="80" workbookViewId="0">
      <selection activeCell="B40" sqref="B40"/>
    </sheetView>
  </sheetViews>
  <sheetFormatPr defaultRowHeight="15" x14ac:dyDescent="0.25"/>
  <cols>
    <col min="1" max="1" width="16.140625" customWidth="1"/>
    <col min="2" max="2" width="87" customWidth="1"/>
    <col min="3" max="3" width="16.85546875" style="8" bestFit="1" customWidth="1"/>
    <col min="4" max="4" width="20.5703125" style="8" customWidth="1"/>
    <col min="5" max="5" width="28.42578125" customWidth="1"/>
    <col min="6" max="6" width="19.28515625" style="2" customWidth="1"/>
    <col min="7" max="7" width="17.5703125" style="2" customWidth="1"/>
    <col min="8" max="8" width="19.5703125" style="66" bestFit="1" customWidth="1"/>
    <col min="9" max="9" width="16.42578125" customWidth="1"/>
    <col min="10" max="10" width="15" bestFit="1" customWidth="1"/>
    <col min="11" max="11" width="15.85546875" bestFit="1" customWidth="1"/>
    <col min="12" max="12" width="15.7109375" customWidth="1"/>
    <col min="13" max="13" width="109.5703125" bestFit="1" customWidth="1"/>
  </cols>
  <sheetData>
    <row r="2" spans="1:13" ht="17.25" x14ac:dyDescent="0.4">
      <c r="B2" s="1" t="s">
        <v>5</v>
      </c>
      <c r="C2" s="6"/>
      <c r="D2" s="6"/>
      <c r="F2" s="89" t="s">
        <v>25</v>
      </c>
      <c r="G2" s="89"/>
      <c r="H2" s="52" t="s">
        <v>73</v>
      </c>
      <c r="I2" s="89" t="s">
        <v>26</v>
      </c>
      <c r="J2" s="89"/>
      <c r="K2" s="12"/>
      <c r="M2" s="39"/>
    </row>
    <row r="3" spans="1:13" s="4" customFormat="1" ht="30" x14ac:dyDescent="0.25">
      <c r="B3" s="4" t="s">
        <v>0</v>
      </c>
      <c r="C3" s="7" t="s">
        <v>13</v>
      </c>
      <c r="D3" s="7" t="s">
        <v>12</v>
      </c>
      <c r="E3" s="4" t="s">
        <v>6</v>
      </c>
      <c r="F3" s="5" t="s">
        <v>1</v>
      </c>
      <c r="G3" s="5" t="s">
        <v>2</v>
      </c>
      <c r="H3" s="22" t="s">
        <v>99</v>
      </c>
      <c r="I3" s="5" t="s">
        <v>27</v>
      </c>
      <c r="J3" s="5" t="s">
        <v>28</v>
      </c>
      <c r="K3" s="5" t="s">
        <v>30</v>
      </c>
      <c r="L3" s="4" t="s">
        <v>29</v>
      </c>
    </row>
    <row r="4" spans="1:13" x14ac:dyDescent="0.25">
      <c r="A4" t="s">
        <v>84</v>
      </c>
      <c r="B4" t="s">
        <v>9</v>
      </c>
      <c r="C4" s="8">
        <v>41699</v>
      </c>
      <c r="D4" s="8">
        <v>42206</v>
      </c>
      <c r="E4" t="s">
        <v>7</v>
      </c>
      <c r="F4" s="2">
        <v>-832885</v>
      </c>
      <c r="G4" s="2">
        <f>F4</f>
        <v>-832885</v>
      </c>
      <c r="I4" s="2">
        <v>-832885</v>
      </c>
      <c r="J4" s="2">
        <v>0</v>
      </c>
      <c r="K4" s="2">
        <f>+I4+J4</f>
        <v>-832885</v>
      </c>
      <c r="L4" s="10">
        <f>+I4</f>
        <v>-832885</v>
      </c>
    </row>
    <row r="5" spans="1:13" s="3" customFormat="1" x14ac:dyDescent="0.25">
      <c r="A5" s="53" t="s">
        <v>85</v>
      </c>
      <c r="B5" s="53" t="s">
        <v>3</v>
      </c>
      <c r="C5" s="64">
        <v>41699</v>
      </c>
      <c r="D5" s="64">
        <v>42206</v>
      </c>
      <c r="E5" s="53" t="s">
        <v>7</v>
      </c>
      <c r="F5" s="59">
        <f>F4*0.5</f>
        <v>-416442.5</v>
      </c>
      <c r="G5" s="58">
        <f t="shared" ref="G5:G17" si="0">G4+F5</f>
        <v>-1249327.5</v>
      </c>
      <c r="H5" s="67" t="s">
        <v>74</v>
      </c>
      <c r="I5" s="59">
        <f>I4*0.5</f>
        <v>-416442.5</v>
      </c>
      <c r="J5" s="59">
        <v>0</v>
      </c>
      <c r="K5" s="59">
        <f>+I5+J5+K4</f>
        <v>-1249327.5</v>
      </c>
      <c r="L5" s="61">
        <f>+L4+I5-J5</f>
        <v>-1249327.5</v>
      </c>
      <c r="M5" s="53"/>
    </row>
    <row r="6" spans="1:13" s="3" customFormat="1" x14ac:dyDescent="0.25">
      <c r="A6" s="3" t="s">
        <v>57</v>
      </c>
      <c r="B6" s="3" t="s">
        <v>4</v>
      </c>
      <c r="C6" s="9">
        <v>42005</v>
      </c>
      <c r="D6" s="9">
        <v>42005</v>
      </c>
      <c r="E6" s="3" t="s">
        <v>7</v>
      </c>
      <c r="F6" s="39">
        <v>750000</v>
      </c>
      <c r="G6" s="39">
        <f t="shared" si="0"/>
        <v>-499327.5</v>
      </c>
      <c r="H6" s="66"/>
      <c r="I6" s="39">
        <v>750000</v>
      </c>
      <c r="J6" s="11">
        <f>+I6</f>
        <v>750000</v>
      </c>
      <c r="K6" s="39">
        <f>+K5+I6</f>
        <v>-499327.5</v>
      </c>
      <c r="L6" s="40">
        <f>+L5+J6</f>
        <v>-499327.5</v>
      </c>
    </row>
    <row r="7" spans="1:13" s="3" customFormat="1" x14ac:dyDescent="0.25">
      <c r="A7" s="53" t="s">
        <v>20</v>
      </c>
      <c r="B7" s="53" t="s">
        <v>70</v>
      </c>
      <c r="C7" s="64">
        <v>42005</v>
      </c>
      <c r="D7" s="64">
        <v>42005</v>
      </c>
      <c r="E7" s="53" t="s">
        <v>7</v>
      </c>
      <c r="F7" s="59">
        <v>10200</v>
      </c>
      <c r="G7" s="58">
        <f t="shared" si="0"/>
        <v>-489127.5</v>
      </c>
      <c r="H7" s="67" t="s">
        <v>75</v>
      </c>
      <c r="I7" s="59">
        <v>10200</v>
      </c>
      <c r="J7" s="59">
        <f>+I7</f>
        <v>10200</v>
      </c>
      <c r="K7" s="59">
        <f t="shared" ref="K7:K12" si="1">+K6+I7</f>
        <v>-489127.5</v>
      </c>
      <c r="L7" s="61">
        <f>+L6+J7</f>
        <v>-489127.5</v>
      </c>
      <c r="M7" s="53"/>
    </row>
    <row r="8" spans="1:13" s="3" customFormat="1" x14ac:dyDescent="0.25">
      <c r="A8" s="3" t="s">
        <v>86</v>
      </c>
      <c r="B8" s="3" t="s">
        <v>17</v>
      </c>
      <c r="C8" s="9">
        <v>42339</v>
      </c>
      <c r="D8" s="9">
        <v>42577</v>
      </c>
      <c r="E8" s="3" t="s">
        <v>7</v>
      </c>
      <c r="F8" s="11">
        <f>-798180.25</f>
        <v>-798180.25</v>
      </c>
      <c r="G8" s="11">
        <f t="shared" si="0"/>
        <v>-1287307.75</v>
      </c>
      <c r="H8" s="68"/>
      <c r="I8" s="11">
        <f>-798180.25</f>
        <v>-798180.25</v>
      </c>
      <c r="J8" s="11">
        <v>0</v>
      </c>
      <c r="K8" s="39">
        <f t="shared" si="1"/>
        <v>-1287307.75</v>
      </c>
      <c r="L8" s="40">
        <f>+L7+I8</f>
        <v>-1287307.75</v>
      </c>
    </row>
    <row r="9" spans="1:13" s="3" customFormat="1" x14ac:dyDescent="0.25">
      <c r="A9" s="3" t="s">
        <v>86</v>
      </c>
      <c r="B9" s="3" t="s">
        <v>11</v>
      </c>
      <c r="C9" s="9">
        <v>42522</v>
      </c>
      <c r="D9" s="9">
        <v>42577</v>
      </c>
      <c r="E9" s="3" t="s">
        <v>14</v>
      </c>
      <c r="F9" s="11">
        <f>55799</f>
        <v>55799</v>
      </c>
      <c r="G9" s="11">
        <f t="shared" si="0"/>
        <v>-1231508.75</v>
      </c>
      <c r="H9" s="68"/>
      <c r="I9" s="11">
        <f>55799</f>
        <v>55799</v>
      </c>
      <c r="J9" s="39">
        <f>+I9</f>
        <v>55799</v>
      </c>
      <c r="K9" s="39">
        <f t="shared" si="1"/>
        <v>-1231508.75</v>
      </c>
      <c r="L9" s="40">
        <f t="shared" ref="L9:L14" si="2">+L8+J9</f>
        <v>-1231508.75</v>
      </c>
    </row>
    <row r="10" spans="1:13" s="3" customFormat="1" x14ac:dyDescent="0.25">
      <c r="A10" s="3" t="s">
        <v>18</v>
      </c>
      <c r="B10" s="3" t="s">
        <v>8</v>
      </c>
      <c r="C10" s="9">
        <v>42552</v>
      </c>
      <c r="D10" s="9">
        <v>42552</v>
      </c>
      <c r="E10" s="3" t="s">
        <v>7</v>
      </c>
      <c r="F10" s="11">
        <v>200000</v>
      </c>
      <c r="G10" s="11">
        <f t="shared" si="0"/>
        <v>-1031508.75</v>
      </c>
      <c r="H10" s="68"/>
      <c r="I10" s="11">
        <v>200000</v>
      </c>
      <c r="J10" s="39">
        <f>+I10</f>
        <v>200000</v>
      </c>
      <c r="K10" s="39">
        <f t="shared" si="1"/>
        <v>-1031508.75</v>
      </c>
      <c r="L10" s="40">
        <f t="shared" si="2"/>
        <v>-1031508.75</v>
      </c>
    </row>
    <row r="11" spans="1:13" s="19" customFormat="1" x14ac:dyDescent="0.25">
      <c r="A11" s="3" t="s">
        <v>50</v>
      </c>
      <c r="B11" s="19" t="s">
        <v>10</v>
      </c>
      <c r="C11" s="18" t="s">
        <v>16</v>
      </c>
      <c r="D11" s="18"/>
      <c r="E11" s="19" t="s">
        <v>7</v>
      </c>
      <c r="F11" s="11">
        <v>66000</v>
      </c>
      <c r="G11" s="11">
        <f t="shared" si="0"/>
        <v>-965508.75</v>
      </c>
      <c r="H11" s="68"/>
      <c r="I11" s="11">
        <v>66000</v>
      </c>
      <c r="J11" s="11">
        <v>66000</v>
      </c>
      <c r="K11" s="11">
        <f t="shared" si="1"/>
        <v>-965508.75</v>
      </c>
      <c r="L11" s="41">
        <f t="shared" si="2"/>
        <v>-965508.75</v>
      </c>
    </row>
    <row r="12" spans="1:13" s="19" customFormat="1" x14ac:dyDescent="0.25">
      <c r="A12" s="3" t="s">
        <v>87</v>
      </c>
      <c r="B12" s="19" t="s">
        <v>33</v>
      </c>
      <c r="C12" s="18" t="s">
        <v>15</v>
      </c>
      <c r="D12" s="18"/>
      <c r="E12" s="19" t="s">
        <v>7</v>
      </c>
      <c r="F12" s="11">
        <f>121330*0.4</f>
        <v>48532</v>
      </c>
      <c r="G12" s="11">
        <f t="shared" si="0"/>
        <v>-916976.75</v>
      </c>
      <c r="H12" s="68"/>
      <c r="I12" s="11">
        <v>48532</v>
      </c>
      <c r="J12" s="11">
        <v>48532</v>
      </c>
      <c r="K12" s="11">
        <f t="shared" si="1"/>
        <v>-916976.75</v>
      </c>
      <c r="L12" s="41">
        <f t="shared" si="2"/>
        <v>-916976.75</v>
      </c>
    </row>
    <row r="13" spans="1:13" s="19" customFormat="1" x14ac:dyDescent="0.25">
      <c r="A13" s="3" t="s">
        <v>47</v>
      </c>
      <c r="B13" s="23" t="s">
        <v>31</v>
      </c>
      <c r="C13" s="18">
        <v>42767</v>
      </c>
      <c r="D13" s="18"/>
      <c r="E13" s="19" t="s">
        <v>67</v>
      </c>
      <c r="F13" s="11">
        <v>0</v>
      </c>
      <c r="G13" s="11">
        <f t="shared" si="0"/>
        <v>-916976.75</v>
      </c>
      <c r="H13" s="68"/>
      <c r="I13" s="11">
        <v>0</v>
      </c>
      <c r="J13" s="11">
        <v>0</v>
      </c>
      <c r="K13" s="11">
        <f t="shared" ref="K13:K36" si="3">+K12+I13</f>
        <v>-916976.75</v>
      </c>
      <c r="L13" s="41">
        <f t="shared" si="2"/>
        <v>-916976.75</v>
      </c>
    </row>
    <row r="14" spans="1:13" s="19" customFormat="1" x14ac:dyDescent="0.25">
      <c r="A14" s="19" t="s">
        <v>21</v>
      </c>
      <c r="B14" s="19" t="s">
        <v>43</v>
      </c>
      <c r="C14" s="18" t="s">
        <v>16</v>
      </c>
      <c r="D14" s="18"/>
      <c r="E14" s="19" t="s">
        <v>7</v>
      </c>
      <c r="F14" s="11">
        <v>70000</v>
      </c>
      <c r="G14" s="11">
        <f t="shared" si="0"/>
        <v>-846976.75</v>
      </c>
      <c r="H14" s="68"/>
      <c r="I14" s="11">
        <v>70000</v>
      </c>
      <c r="J14" s="11">
        <v>70000</v>
      </c>
      <c r="K14" s="11">
        <f t="shared" si="3"/>
        <v>-846976.75</v>
      </c>
      <c r="L14" s="41">
        <f t="shared" si="2"/>
        <v>-846976.75</v>
      </c>
    </row>
    <row r="15" spans="1:13" s="19" customFormat="1" x14ac:dyDescent="0.25">
      <c r="A15" s="53" t="s">
        <v>88</v>
      </c>
      <c r="B15" s="53" t="s">
        <v>32</v>
      </c>
      <c r="C15" s="64" t="s">
        <v>34</v>
      </c>
      <c r="D15" s="64">
        <v>42887</v>
      </c>
      <c r="E15" s="53" t="s">
        <v>7</v>
      </c>
      <c r="F15" s="59">
        <v>-123727.5</v>
      </c>
      <c r="G15" s="58">
        <f t="shared" si="0"/>
        <v>-970704.25</v>
      </c>
      <c r="H15" s="67" t="s">
        <v>76</v>
      </c>
      <c r="I15" s="59">
        <f t="shared" ref="I15:I24" si="4">+F15</f>
        <v>-123727.5</v>
      </c>
      <c r="J15" s="61">
        <v>0</v>
      </c>
      <c r="K15" s="59">
        <f t="shared" si="3"/>
        <v>-970704.25</v>
      </c>
      <c r="L15" s="61">
        <f t="shared" ref="L15:L36" si="5">+L14+I15</f>
        <v>-970704.25</v>
      </c>
      <c r="M15" s="53"/>
    </row>
    <row r="16" spans="1:13" s="19" customFormat="1" x14ac:dyDescent="0.25">
      <c r="A16" s="19" t="s">
        <v>89</v>
      </c>
      <c r="B16" s="19" t="s">
        <v>35</v>
      </c>
      <c r="C16" s="18" t="s">
        <v>36</v>
      </c>
      <c r="D16" s="18" t="s">
        <v>69</v>
      </c>
      <c r="E16" s="19" t="s">
        <v>7</v>
      </c>
      <c r="F16" s="11">
        <f>-37788 *6.25</f>
        <v>-236175</v>
      </c>
      <c r="G16" s="11">
        <f t="shared" si="0"/>
        <v>-1206879.25</v>
      </c>
      <c r="H16" s="68"/>
      <c r="I16" s="11">
        <f t="shared" si="4"/>
        <v>-236175</v>
      </c>
      <c r="J16" s="11">
        <v>0</v>
      </c>
      <c r="K16" s="11">
        <f t="shared" si="3"/>
        <v>-1206879.25</v>
      </c>
      <c r="L16" s="41">
        <f t="shared" si="5"/>
        <v>-1206879.25</v>
      </c>
    </row>
    <row r="17" spans="1:13" s="19" customFormat="1" x14ac:dyDescent="0.25">
      <c r="A17" s="53" t="s">
        <v>22</v>
      </c>
      <c r="B17" s="53" t="s">
        <v>107</v>
      </c>
      <c r="C17" s="64" t="s">
        <v>68</v>
      </c>
      <c r="D17" s="64" t="s">
        <v>68</v>
      </c>
      <c r="E17" s="53" t="s">
        <v>7</v>
      </c>
      <c r="F17" s="59">
        <v>5000</v>
      </c>
      <c r="G17" s="58">
        <f t="shared" si="0"/>
        <v>-1201879.25</v>
      </c>
      <c r="H17" s="67" t="s">
        <v>77</v>
      </c>
      <c r="I17" s="59">
        <f t="shared" si="4"/>
        <v>5000</v>
      </c>
      <c r="J17" s="61">
        <v>5000</v>
      </c>
      <c r="K17" s="59">
        <f t="shared" si="3"/>
        <v>-1201879.25</v>
      </c>
      <c r="L17" s="61">
        <f t="shared" si="5"/>
        <v>-1201879.25</v>
      </c>
      <c r="M17" s="53"/>
    </row>
    <row r="18" spans="1:13" s="19" customFormat="1" x14ac:dyDescent="0.25">
      <c r="A18" s="19" t="s">
        <v>90</v>
      </c>
      <c r="B18" s="38" t="s">
        <v>72</v>
      </c>
      <c r="C18" s="18" t="s">
        <v>80</v>
      </c>
      <c r="D18" s="18" t="s">
        <v>71</v>
      </c>
      <c r="E18" s="19" t="s">
        <v>7</v>
      </c>
      <c r="F18" s="11">
        <v>-6718.75</v>
      </c>
      <c r="G18" s="11">
        <f t="shared" ref="G18:G28" si="6">F18+G17</f>
        <v>-1208598</v>
      </c>
      <c r="H18" s="68"/>
      <c r="I18" s="11">
        <f t="shared" si="4"/>
        <v>-6718.75</v>
      </c>
      <c r="J18" s="41">
        <v>0</v>
      </c>
      <c r="K18" s="11">
        <f t="shared" si="3"/>
        <v>-1208598</v>
      </c>
      <c r="L18" s="41">
        <f t="shared" si="5"/>
        <v>-1208598</v>
      </c>
    </row>
    <row r="19" spans="1:13" s="19" customFormat="1" x14ac:dyDescent="0.25">
      <c r="A19" s="19" t="s">
        <v>23</v>
      </c>
      <c r="B19" s="38" t="s">
        <v>78</v>
      </c>
      <c r="C19" s="18" t="s">
        <v>79</v>
      </c>
      <c r="D19" s="18"/>
      <c r="E19" s="19" t="s">
        <v>7</v>
      </c>
      <c r="F19" s="11">
        <v>32076</v>
      </c>
      <c r="G19" s="11">
        <f t="shared" si="6"/>
        <v>-1176522</v>
      </c>
      <c r="H19" s="68"/>
      <c r="I19" s="11">
        <f t="shared" si="4"/>
        <v>32076</v>
      </c>
      <c r="J19" s="41">
        <v>32000</v>
      </c>
      <c r="K19" s="11">
        <f t="shared" si="3"/>
        <v>-1176522</v>
      </c>
      <c r="L19" s="41">
        <f t="shared" si="5"/>
        <v>-1176522</v>
      </c>
    </row>
    <row r="20" spans="1:13" s="19" customFormat="1" x14ac:dyDescent="0.25">
      <c r="A20" s="19" t="s">
        <v>24</v>
      </c>
      <c r="B20" s="38" t="s">
        <v>83</v>
      </c>
      <c r="C20" s="18" t="s">
        <v>79</v>
      </c>
      <c r="D20" s="18"/>
      <c r="E20" s="19" t="s">
        <v>7</v>
      </c>
      <c r="F20" s="11">
        <v>15000</v>
      </c>
      <c r="G20" s="11">
        <f t="shared" si="6"/>
        <v>-1161522</v>
      </c>
      <c r="H20" s="68"/>
      <c r="I20" s="11">
        <f t="shared" si="4"/>
        <v>15000</v>
      </c>
      <c r="J20" s="41">
        <v>15000</v>
      </c>
      <c r="K20" s="11">
        <f t="shared" si="3"/>
        <v>-1161522</v>
      </c>
      <c r="L20" s="41">
        <f t="shared" si="5"/>
        <v>-1161522</v>
      </c>
    </row>
    <row r="21" spans="1:13" s="19" customFormat="1" x14ac:dyDescent="0.25">
      <c r="A21" s="19" t="s">
        <v>41</v>
      </c>
      <c r="B21" s="38" t="s">
        <v>82</v>
      </c>
      <c r="C21" s="18" t="s">
        <v>81</v>
      </c>
      <c r="D21" s="18">
        <v>43646</v>
      </c>
      <c r="E21" s="19" t="s">
        <v>7</v>
      </c>
      <c r="F21" s="11">
        <v>65610</v>
      </c>
      <c r="G21" s="11">
        <f t="shared" si="6"/>
        <v>-1095912</v>
      </c>
      <c r="H21" s="69"/>
      <c r="I21" s="11">
        <f t="shared" si="4"/>
        <v>65610</v>
      </c>
      <c r="J21" s="41">
        <v>65610</v>
      </c>
      <c r="K21" s="11">
        <f t="shared" si="3"/>
        <v>-1095912</v>
      </c>
      <c r="L21" s="41">
        <f t="shared" si="5"/>
        <v>-1095912</v>
      </c>
    </row>
    <row r="22" spans="1:13" s="14" customFormat="1" x14ac:dyDescent="0.25">
      <c r="A22" s="53" t="s">
        <v>111</v>
      </c>
      <c r="B22" s="63" t="s">
        <v>98</v>
      </c>
      <c r="C22" s="64" t="s">
        <v>100</v>
      </c>
      <c r="D22" s="64">
        <v>43646</v>
      </c>
      <c r="E22" s="53" t="s">
        <v>7</v>
      </c>
      <c r="F22" s="59">
        <v>230000</v>
      </c>
      <c r="G22" s="58">
        <f t="shared" si="6"/>
        <v>-865912</v>
      </c>
      <c r="H22" s="67" t="s">
        <v>103</v>
      </c>
      <c r="I22" s="59">
        <f t="shared" si="4"/>
        <v>230000</v>
      </c>
      <c r="J22" s="61">
        <v>230000</v>
      </c>
      <c r="K22" s="59">
        <f t="shared" si="3"/>
        <v>-865912</v>
      </c>
      <c r="L22" s="61">
        <f t="shared" si="5"/>
        <v>-865912</v>
      </c>
      <c r="M22" s="65"/>
    </row>
    <row r="23" spans="1:13" x14ac:dyDescent="0.25">
      <c r="B23" s="38" t="s">
        <v>101</v>
      </c>
      <c r="C23" s="8" t="s">
        <v>34</v>
      </c>
      <c r="D23" s="8" t="s">
        <v>102</v>
      </c>
      <c r="E23" s="19" t="s">
        <v>7</v>
      </c>
      <c r="F23" s="81">
        <v>-17906.25</v>
      </c>
      <c r="G23" s="11">
        <f t="shared" si="6"/>
        <v>-883818.25</v>
      </c>
      <c r="I23" s="11">
        <f t="shared" si="4"/>
        <v>-17906.25</v>
      </c>
      <c r="J23" s="10">
        <v>0</v>
      </c>
      <c r="K23" s="11">
        <f>+K22+I23</f>
        <v>-883818.25</v>
      </c>
      <c r="L23" s="41">
        <f>+L22+I23</f>
        <v>-883818.25</v>
      </c>
    </row>
    <row r="24" spans="1:13" x14ac:dyDescent="0.25">
      <c r="B24" s="20" t="s">
        <v>104</v>
      </c>
      <c r="C24" s="8" t="s">
        <v>34</v>
      </c>
      <c r="D24" s="8" t="s">
        <v>105</v>
      </c>
      <c r="E24" t="s">
        <v>7</v>
      </c>
      <c r="F24" s="2">
        <v>-183981.6</v>
      </c>
      <c r="G24" s="11">
        <f t="shared" si="6"/>
        <v>-1067799.8500000001</v>
      </c>
      <c r="I24" s="11">
        <f t="shared" si="4"/>
        <v>-183981.6</v>
      </c>
      <c r="J24" s="10">
        <v>0</v>
      </c>
      <c r="K24" s="11">
        <f>+K23+I24</f>
        <v>-1067799.8500000001</v>
      </c>
      <c r="L24" s="41">
        <f>+L23+I24</f>
        <v>-1067799.8500000001</v>
      </c>
    </row>
    <row r="25" spans="1:13" x14ac:dyDescent="0.25">
      <c r="A25" s="19" t="s">
        <v>117</v>
      </c>
      <c r="B25" s="20" t="s">
        <v>109</v>
      </c>
      <c r="C25" s="8" t="s">
        <v>110</v>
      </c>
      <c r="E25" t="s">
        <v>7</v>
      </c>
      <c r="F25" s="2">
        <v>17000</v>
      </c>
      <c r="G25" s="11">
        <f t="shared" si="6"/>
        <v>-1050799.8500000001</v>
      </c>
      <c r="I25" s="11">
        <v>17000</v>
      </c>
      <c r="J25" s="10">
        <v>17000</v>
      </c>
      <c r="K25" s="11">
        <f t="shared" si="3"/>
        <v>-1050799.8500000001</v>
      </c>
      <c r="L25" s="41">
        <f t="shared" si="5"/>
        <v>-1050799.8500000001</v>
      </c>
    </row>
    <row r="26" spans="1:13" x14ac:dyDescent="0.25">
      <c r="A26" s="19" t="s">
        <v>119</v>
      </c>
      <c r="B26" s="20" t="s">
        <v>108</v>
      </c>
      <c r="C26" s="8" t="s">
        <v>106</v>
      </c>
      <c r="E26" t="s">
        <v>7</v>
      </c>
      <c r="F26" s="2">
        <v>20078</v>
      </c>
      <c r="G26" s="2">
        <f t="shared" si="6"/>
        <v>-1030721.8500000001</v>
      </c>
      <c r="H26" s="21"/>
      <c r="I26" s="11">
        <f>+F26</f>
        <v>20078</v>
      </c>
      <c r="J26" s="10">
        <v>0</v>
      </c>
      <c r="K26" s="11">
        <f t="shared" si="3"/>
        <v>-1030721.8500000001</v>
      </c>
      <c r="L26" s="41">
        <f t="shared" si="5"/>
        <v>-1030721.8500000001</v>
      </c>
    </row>
    <row r="27" spans="1:13" x14ac:dyDescent="0.25">
      <c r="A27" s="53" t="s">
        <v>127</v>
      </c>
      <c r="B27" s="54" t="s">
        <v>151</v>
      </c>
      <c r="C27" s="55" t="s">
        <v>121</v>
      </c>
      <c r="D27" s="55"/>
      <c r="E27" s="56" t="s">
        <v>7</v>
      </c>
      <c r="F27" s="57">
        <v>5000</v>
      </c>
      <c r="G27" s="58">
        <f t="shared" si="6"/>
        <v>-1025721.8500000001</v>
      </c>
      <c r="H27" s="67" t="s">
        <v>123</v>
      </c>
      <c r="I27" s="59">
        <f>+F27</f>
        <v>5000</v>
      </c>
      <c r="J27" s="60">
        <v>5000</v>
      </c>
      <c r="K27" s="59">
        <f t="shared" si="3"/>
        <v>-1025721.8500000001</v>
      </c>
      <c r="L27" s="61">
        <f t="shared" si="5"/>
        <v>-1025721.8500000001</v>
      </c>
      <c r="M27" s="62"/>
    </row>
    <row r="28" spans="1:13" x14ac:dyDescent="0.25">
      <c r="A28" s="19" t="s">
        <v>127</v>
      </c>
      <c r="B28" s="20" t="s">
        <v>152</v>
      </c>
      <c r="C28" s="8" t="s">
        <v>121</v>
      </c>
      <c r="E28" t="s">
        <v>7</v>
      </c>
      <c r="F28" s="2">
        <v>15000</v>
      </c>
      <c r="G28" s="2">
        <f t="shared" si="6"/>
        <v>-1010721.8500000001</v>
      </c>
      <c r="I28" s="11">
        <v>15000</v>
      </c>
      <c r="J28" s="10">
        <v>15000</v>
      </c>
      <c r="K28" s="11">
        <f t="shared" si="3"/>
        <v>-1010721.8500000001</v>
      </c>
      <c r="L28" s="41">
        <f t="shared" si="5"/>
        <v>-1010721.8500000001</v>
      </c>
    </row>
    <row r="29" spans="1:13" s="19" customFormat="1" x14ac:dyDescent="0.25">
      <c r="A29" s="19" t="s">
        <v>126</v>
      </c>
      <c r="B29" s="38" t="s">
        <v>124</v>
      </c>
      <c r="C29" s="18" t="s">
        <v>125</v>
      </c>
      <c r="D29" s="18"/>
      <c r="E29" t="s">
        <v>7</v>
      </c>
      <c r="F29" s="11">
        <v>310000</v>
      </c>
      <c r="G29" s="2">
        <f t="shared" ref="G29:G37" si="7">F29+G28</f>
        <v>-700721.85000000009</v>
      </c>
      <c r="H29" s="68"/>
      <c r="I29" s="11">
        <f t="shared" ref="I29:I37" si="8">+F29</f>
        <v>310000</v>
      </c>
      <c r="J29" s="41">
        <v>310000</v>
      </c>
      <c r="K29" s="11">
        <f>+K28+I29</f>
        <v>-700721.85000000009</v>
      </c>
      <c r="L29" s="41">
        <f>+L28+I29</f>
        <v>-700721.85000000009</v>
      </c>
    </row>
    <row r="30" spans="1:13" x14ac:dyDescent="0.25">
      <c r="A30" t="s">
        <v>132</v>
      </c>
      <c r="B30" s="51" t="s">
        <v>149</v>
      </c>
      <c r="C30" s="9" t="s">
        <v>134</v>
      </c>
      <c r="D30" s="43"/>
      <c r="E30" t="s">
        <v>7</v>
      </c>
      <c r="F30" s="39">
        <v>-185196</v>
      </c>
      <c r="G30" s="11">
        <f t="shared" si="7"/>
        <v>-885917.85000000009</v>
      </c>
      <c r="I30" s="10">
        <f t="shared" si="8"/>
        <v>-185196</v>
      </c>
      <c r="J30" s="10">
        <v>0</v>
      </c>
      <c r="K30" s="11">
        <f t="shared" si="3"/>
        <v>-885917.85000000009</v>
      </c>
      <c r="L30" s="41">
        <f t="shared" si="5"/>
        <v>-885917.85000000009</v>
      </c>
    </row>
    <row r="31" spans="1:13" s="13" customFormat="1" x14ac:dyDescent="0.25">
      <c r="A31" s="13" t="s">
        <v>135</v>
      </c>
      <c r="B31" s="38" t="s">
        <v>136</v>
      </c>
      <c r="C31" s="18" t="s">
        <v>137</v>
      </c>
      <c r="D31" s="18" t="s">
        <v>138</v>
      </c>
      <c r="E31" s="13" t="s">
        <v>7</v>
      </c>
      <c r="F31" s="11">
        <v>30000</v>
      </c>
      <c r="G31" s="11">
        <f t="shared" si="7"/>
        <v>-855917.85000000009</v>
      </c>
      <c r="H31" s="68"/>
      <c r="I31" s="71">
        <f t="shared" si="8"/>
        <v>30000</v>
      </c>
      <c r="J31" s="71">
        <v>30000</v>
      </c>
      <c r="K31" s="11">
        <f t="shared" si="3"/>
        <v>-855917.85000000009</v>
      </c>
      <c r="L31" s="70">
        <f t="shared" si="5"/>
        <v>-855917.85000000009</v>
      </c>
      <c r="M31" s="80"/>
    </row>
    <row r="32" spans="1:13" s="13" customFormat="1" x14ac:dyDescent="0.25">
      <c r="A32" s="53" t="s">
        <v>111</v>
      </c>
      <c r="B32" s="63" t="s">
        <v>157</v>
      </c>
      <c r="C32" s="64" t="s">
        <v>100</v>
      </c>
      <c r="D32" s="64">
        <v>43646</v>
      </c>
      <c r="E32" s="53" t="s">
        <v>7</v>
      </c>
      <c r="F32" s="59">
        <v>-120000</v>
      </c>
      <c r="G32" s="58">
        <f t="shared" si="7"/>
        <v>-975917.85000000009</v>
      </c>
      <c r="H32" s="67" t="s">
        <v>150</v>
      </c>
      <c r="I32" s="60">
        <f t="shared" si="8"/>
        <v>-120000</v>
      </c>
      <c r="J32" s="60">
        <v>0</v>
      </c>
      <c r="K32" s="59">
        <f t="shared" si="3"/>
        <v>-975917.85000000009</v>
      </c>
      <c r="L32" s="79">
        <f t="shared" si="5"/>
        <v>-975917.85000000009</v>
      </c>
      <c r="M32" s="78"/>
    </row>
    <row r="33" spans="1:13" x14ac:dyDescent="0.25">
      <c r="A33" s="19" t="s">
        <v>127</v>
      </c>
      <c r="B33" s="20" t="s">
        <v>153</v>
      </c>
      <c r="C33" s="8" t="s">
        <v>121</v>
      </c>
      <c r="D33" s="18" t="s">
        <v>159</v>
      </c>
      <c r="E33" s="13" t="s">
        <v>7</v>
      </c>
      <c r="F33" s="11">
        <v>15000</v>
      </c>
      <c r="G33" s="11">
        <f t="shared" si="7"/>
        <v>-960917.85000000009</v>
      </c>
      <c r="H33" s="68"/>
      <c r="I33" s="10">
        <f t="shared" si="8"/>
        <v>15000</v>
      </c>
      <c r="J33" s="10">
        <v>15000</v>
      </c>
      <c r="K33" s="11">
        <f t="shared" si="3"/>
        <v>-960917.85000000009</v>
      </c>
      <c r="L33" s="70">
        <f t="shared" si="5"/>
        <v>-960917.85000000009</v>
      </c>
    </row>
    <row r="34" spans="1:13" x14ac:dyDescent="0.25">
      <c r="A34" s="19" t="s">
        <v>160</v>
      </c>
      <c r="B34" s="20" t="s">
        <v>158</v>
      </c>
      <c r="C34" s="8" t="s">
        <v>159</v>
      </c>
      <c r="D34" s="18" t="s">
        <v>159</v>
      </c>
      <c r="E34" s="13" t="s">
        <v>7</v>
      </c>
      <c r="F34" s="11">
        <v>18025</v>
      </c>
      <c r="G34" s="11">
        <f t="shared" si="7"/>
        <v>-942892.85000000009</v>
      </c>
      <c r="H34" s="68"/>
      <c r="I34" s="10">
        <f t="shared" si="8"/>
        <v>18025</v>
      </c>
      <c r="J34" s="10">
        <v>18025</v>
      </c>
      <c r="K34" s="11">
        <f t="shared" si="3"/>
        <v>-942892.85000000009</v>
      </c>
      <c r="L34" s="79">
        <f t="shared" si="5"/>
        <v>-942892.85000000009</v>
      </c>
      <c r="M34" s="78"/>
    </row>
    <row r="35" spans="1:13" x14ac:dyDescent="0.25">
      <c r="A35" s="53"/>
      <c r="B35" s="54"/>
      <c r="C35" s="55" t="s">
        <v>162</v>
      </c>
      <c r="D35" s="64"/>
      <c r="E35" s="56" t="s">
        <v>7</v>
      </c>
      <c r="F35" s="59">
        <v>135000</v>
      </c>
      <c r="G35" s="59">
        <f t="shared" si="7"/>
        <v>-807892.85000000009</v>
      </c>
      <c r="H35" s="67" t="s">
        <v>155</v>
      </c>
      <c r="I35" s="60">
        <f t="shared" si="8"/>
        <v>135000</v>
      </c>
      <c r="J35" s="60">
        <v>135000</v>
      </c>
      <c r="K35" s="59">
        <f t="shared" si="3"/>
        <v>-807892.85000000009</v>
      </c>
      <c r="L35" s="79">
        <f t="shared" si="5"/>
        <v>-807892.85000000009</v>
      </c>
      <c r="M35" s="78" t="s">
        <v>165</v>
      </c>
    </row>
    <row r="36" spans="1:13" x14ac:dyDescent="0.25">
      <c r="A36" s="19" t="s">
        <v>127</v>
      </c>
      <c r="B36" s="20" t="s">
        <v>154</v>
      </c>
      <c r="C36" s="8" t="s">
        <v>121</v>
      </c>
      <c r="D36" s="18"/>
      <c r="E36" t="s">
        <v>122</v>
      </c>
      <c r="F36" s="11">
        <v>15000</v>
      </c>
      <c r="G36" s="11">
        <f t="shared" si="7"/>
        <v>-792892.85000000009</v>
      </c>
      <c r="H36" s="68" t="s">
        <v>156</v>
      </c>
      <c r="I36" s="10">
        <f t="shared" si="8"/>
        <v>15000</v>
      </c>
      <c r="J36" s="71">
        <v>15000</v>
      </c>
      <c r="K36" s="11">
        <f t="shared" si="3"/>
        <v>-792892.85000000009</v>
      </c>
      <c r="L36" s="70">
        <f t="shared" si="5"/>
        <v>-792892.85000000009</v>
      </c>
      <c r="M36" s="1" t="s">
        <v>166</v>
      </c>
    </row>
    <row r="37" spans="1:13" x14ac:dyDescent="0.25">
      <c r="A37" s="19"/>
      <c r="B37" s="20" t="s">
        <v>175</v>
      </c>
      <c r="D37" s="18" t="s">
        <v>167</v>
      </c>
      <c r="E37" t="s">
        <v>7</v>
      </c>
      <c r="F37" s="11">
        <v>-661031.5</v>
      </c>
      <c r="G37" s="11">
        <f t="shared" si="7"/>
        <v>-1453924.35</v>
      </c>
      <c r="H37" s="68"/>
      <c r="I37" s="10">
        <f t="shared" si="8"/>
        <v>-661031.5</v>
      </c>
      <c r="J37" s="71"/>
      <c r="K37" s="11"/>
      <c r="L37" s="70"/>
      <c r="M37" s="1"/>
    </row>
    <row r="38" spans="1:13" s="44" customFormat="1" x14ac:dyDescent="0.25">
      <c r="A38" s="14"/>
      <c r="B38" s="42" t="s">
        <v>172</v>
      </c>
      <c r="C38" s="43"/>
      <c r="D38" s="82" t="s">
        <v>174</v>
      </c>
      <c r="E38" s="44" t="s">
        <v>173</v>
      </c>
      <c r="F38" s="83">
        <v>1246520</v>
      </c>
      <c r="G38" s="83"/>
      <c r="H38" s="84"/>
      <c r="I38" s="85"/>
      <c r="J38" s="86"/>
      <c r="K38" s="83"/>
      <c r="L38" s="87"/>
      <c r="M38" s="88"/>
    </row>
    <row r="39" spans="1:13" x14ac:dyDescent="0.25">
      <c r="A39" s="19"/>
      <c r="B39" s="20"/>
      <c r="D39" s="18"/>
      <c r="F39" s="11"/>
      <c r="G39" s="11"/>
      <c r="H39" s="68"/>
      <c r="I39" s="10"/>
      <c r="J39" s="71"/>
      <c r="K39" s="11"/>
      <c r="L39" s="70"/>
      <c r="M39" s="1"/>
    </row>
    <row r="40" spans="1:13" s="13" customFormat="1" x14ac:dyDescent="0.25">
      <c r="B40" s="48"/>
      <c r="C40" s="50"/>
      <c r="D40" s="50"/>
      <c r="F40" s="49"/>
      <c r="G40" s="49"/>
      <c r="H40" s="68"/>
      <c r="L40" s="71"/>
    </row>
    <row r="41" spans="1:13" x14ac:dyDescent="0.25">
      <c r="B41" s="42"/>
      <c r="C41" s="46"/>
      <c r="D41" s="46"/>
      <c r="E41" s="47"/>
      <c r="F41" s="45"/>
      <c r="I41" s="10"/>
      <c r="J41" s="10"/>
      <c r="K41" s="10"/>
      <c r="L41" s="10"/>
    </row>
    <row r="42" spans="1:13" x14ac:dyDescent="0.25">
      <c r="B42" s="42"/>
      <c r="C42" s="43"/>
      <c r="D42" s="43"/>
      <c r="E42" s="44"/>
      <c r="F42" s="45"/>
    </row>
    <row r="43" spans="1:13" x14ac:dyDescent="0.25">
      <c r="B43" s="42"/>
    </row>
    <row r="45" spans="1:13" x14ac:dyDescent="0.25">
      <c r="D45" s="11"/>
    </row>
  </sheetData>
  <sortState xmlns:xlrd2="http://schemas.microsoft.com/office/spreadsheetml/2017/richdata2" ref="B4:H10">
    <sortCondition ref="C4:C10"/>
  </sortState>
  <mergeCells count="2">
    <mergeCell ref="F2:G2"/>
    <mergeCell ref="I2:J2"/>
  </mergeCells>
  <pageMargins left="0.7" right="0.7" top="0.75" bottom="0.75" header="0.3" footer="0.3"/>
  <pageSetup paperSize="5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4"/>
  <sheetViews>
    <sheetView showGridLines="0" topLeftCell="A10" workbookViewId="0">
      <selection activeCell="I31" sqref="I31"/>
    </sheetView>
  </sheetViews>
  <sheetFormatPr defaultRowHeight="15" x14ac:dyDescent="0.25"/>
  <cols>
    <col min="1" max="1" width="71.7109375" bestFit="1" customWidth="1"/>
    <col min="2" max="2" width="25.85546875" customWidth="1"/>
    <col min="4" max="4" width="21.28515625" customWidth="1"/>
    <col min="5" max="5" width="19.5703125" customWidth="1"/>
    <col min="6" max="6" width="20.5703125" customWidth="1"/>
    <col min="7" max="7" width="19.140625" bestFit="1" customWidth="1"/>
    <col min="8" max="8" width="18.7109375" customWidth="1"/>
    <col min="9" max="10" width="14.28515625" bestFit="1" customWidth="1"/>
    <col min="11" max="11" width="11.85546875" bestFit="1" customWidth="1"/>
  </cols>
  <sheetData>
    <row r="1" spans="1:8" x14ac:dyDescent="0.25">
      <c r="A1" s="17" t="s">
        <v>129</v>
      </c>
    </row>
    <row r="2" spans="1:8" x14ac:dyDescent="0.25">
      <c r="A2" s="15" t="s">
        <v>66</v>
      </c>
      <c r="B2" t="s">
        <v>131</v>
      </c>
    </row>
    <row r="4" spans="1:8" x14ac:dyDescent="0.25">
      <c r="A4" s="24" t="s">
        <v>65</v>
      </c>
      <c r="B4" s="25"/>
      <c r="C4" s="25"/>
      <c r="D4" s="25"/>
      <c r="E4" s="24" t="s">
        <v>59</v>
      </c>
      <c r="F4" s="24" t="s">
        <v>60</v>
      </c>
      <c r="G4" s="24" t="s">
        <v>61</v>
      </c>
      <c r="H4" s="24" t="s">
        <v>91</v>
      </c>
    </row>
    <row r="5" spans="1:8" ht="16.5" x14ac:dyDescent="0.25">
      <c r="A5" s="29" t="s">
        <v>164</v>
      </c>
      <c r="B5" s="30" t="s">
        <v>163</v>
      </c>
      <c r="C5" s="30" t="s">
        <v>38</v>
      </c>
      <c r="D5" s="30" t="s">
        <v>42</v>
      </c>
      <c r="E5" s="31">
        <v>135000</v>
      </c>
      <c r="F5" s="31">
        <v>135000</v>
      </c>
      <c r="G5" s="31">
        <v>135000</v>
      </c>
      <c r="H5" s="31">
        <v>0</v>
      </c>
    </row>
    <row r="6" spans="1:8" ht="16.5" x14ac:dyDescent="0.25">
      <c r="A6" s="26" t="s">
        <v>161</v>
      </c>
      <c r="B6" s="27" t="s">
        <v>160</v>
      </c>
      <c r="C6" s="27" t="s">
        <v>38</v>
      </c>
      <c r="D6" s="27" t="s">
        <v>42</v>
      </c>
      <c r="E6" s="28">
        <v>18025</v>
      </c>
      <c r="F6" s="28">
        <v>18025</v>
      </c>
      <c r="G6" s="28">
        <v>18025</v>
      </c>
      <c r="H6" s="28">
        <v>0</v>
      </c>
    </row>
    <row r="7" spans="1:8" ht="16.5" x14ac:dyDescent="0.25">
      <c r="A7" s="29" t="s">
        <v>139</v>
      </c>
      <c r="B7" s="30" t="s">
        <v>135</v>
      </c>
      <c r="C7" s="30" t="s">
        <v>38</v>
      </c>
      <c r="D7" s="30" t="s">
        <v>42</v>
      </c>
      <c r="E7" s="31">
        <v>30000</v>
      </c>
      <c r="F7" s="31">
        <v>30000</v>
      </c>
      <c r="G7" s="31">
        <v>30000</v>
      </c>
      <c r="H7" s="31">
        <v>0</v>
      </c>
    </row>
    <row r="8" spans="1:8" ht="16.5" x14ac:dyDescent="0.25">
      <c r="A8" s="26" t="s">
        <v>124</v>
      </c>
      <c r="B8" s="27" t="s">
        <v>126</v>
      </c>
      <c r="C8" s="27" t="s">
        <v>38</v>
      </c>
      <c r="D8" s="27" t="s">
        <v>42</v>
      </c>
      <c r="E8" s="28">
        <v>310000</v>
      </c>
      <c r="F8" s="28">
        <v>310000</v>
      </c>
      <c r="G8" s="28">
        <v>310000</v>
      </c>
      <c r="H8" s="28">
        <v>0</v>
      </c>
    </row>
    <row r="9" spans="1:8" ht="16.5" x14ac:dyDescent="0.25">
      <c r="A9" s="29" t="s">
        <v>120</v>
      </c>
      <c r="B9" s="30" t="s">
        <v>127</v>
      </c>
      <c r="C9" s="30" t="s">
        <v>128</v>
      </c>
      <c r="D9" s="30" t="s">
        <v>39</v>
      </c>
      <c r="E9" s="31">
        <v>50000</v>
      </c>
      <c r="F9" s="31">
        <v>50000</v>
      </c>
      <c r="G9" s="31">
        <v>50000</v>
      </c>
      <c r="H9" s="31">
        <v>0</v>
      </c>
    </row>
    <row r="10" spans="1:8" ht="16.5" x14ac:dyDescent="0.25">
      <c r="A10" s="26" t="s">
        <v>118</v>
      </c>
      <c r="B10" s="27" t="s">
        <v>119</v>
      </c>
      <c r="C10" s="27" t="s">
        <v>38</v>
      </c>
      <c r="D10" s="27" t="s">
        <v>42</v>
      </c>
      <c r="E10" s="28">
        <v>20000</v>
      </c>
      <c r="F10" s="28">
        <v>20078</v>
      </c>
      <c r="G10" s="28">
        <v>20078</v>
      </c>
      <c r="H10" s="28">
        <v>0</v>
      </c>
    </row>
    <row r="11" spans="1:8" ht="16.5" x14ac:dyDescent="0.25">
      <c r="A11" s="29" t="s">
        <v>109</v>
      </c>
      <c r="B11" s="30" t="s">
        <v>117</v>
      </c>
      <c r="C11" s="30" t="s">
        <v>38</v>
      </c>
      <c r="D11" s="30" t="s">
        <v>42</v>
      </c>
      <c r="E11" s="31">
        <v>17000</v>
      </c>
      <c r="F11" s="31">
        <v>17000</v>
      </c>
      <c r="G11" s="31">
        <v>17000</v>
      </c>
      <c r="H11" s="31">
        <v>0</v>
      </c>
    </row>
    <row r="12" spans="1:8" s="13" customFormat="1" ht="16.5" x14ac:dyDescent="0.25">
      <c r="A12" s="26" t="s">
        <v>112</v>
      </c>
      <c r="B12" s="27" t="s">
        <v>111</v>
      </c>
      <c r="C12" s="27" t="s">
        <v>38</v>
      </c>
      <c r="D12" s="27" t="s">
        <v>42</v>
      </c>
      <c r="E12" s="28">
        <v>230000</v>
      </c>
      <c r="F12" s="28">
        <f>230000-120000</f>
        <v>110000</v>
      </c>
      <c r="G12" s="28">
        <f>230000-120000</f>
        <v>110000</v>
      </c>
      <c r="H12" s="28">
        <v>0</v>
      </c>
    </row>
    <row r="13" spans="1:8" ht="16.5" x14ac:dyDescent="0.25">
      <c r="A13" s="29" t="s">
        <v>96</v>
      </c>
      <c r="B13" s="30" t="s">
        <v>41</v>
      </c>
      <c r="C13" s="30" t="s">
        <v>38</v>
      </c>
      <c r="D13" s="30" t="s">
        <v>42</v>
      </c>
      <c r="E13" s="31">
        <v>65610</v>
      </c>
      <c r="F13" s="31">
        <v>65610</v>
      </c>
      <c r="G13" s="31">
        <v>65610</v>
      </c>
      <c r="H13" s="31">
        <v>0</v>
      </c>
    </row>
    <row r="14" spans="1:8" s="13" customFormat="1" ht="16.5" x14ac:dyDescent="0.25">
      <c r="A14" s="26" t="s">
        <v>92</v>
      </c>
      <c r="B14" s="27" t="s">
        <v>23</v>
      </c>
      <c r="C14" s="27" t="s">
        <v>38</v>
      </c>
      <c r="D14" s="27" t="s">
        <v>42</v>
      </c>
      <c r="E14" s="28">
        <v>32000</v>
      </c>
      <c r="F14" s="28">
        <v>32076</v>
      </c>
      <c r="G14" s="28">
        <v>32076</v>
      </c>
      <c r="H14" s="28">
        <v>0</v>
      </c>
    </row>
    <row r="15" spans="1:8" ht="16.5" x14ac:dyDescent="0.25">
      <c r="A15" s="29" t="s">
        <v>97</v>
      </c>
      <c r="B15" s="30" t="s">
        <v>24</v>
      </c>
      <c r="C15" s="30" t="s">
        <v>38</v>
      </c>
      <c r="D15" s="30" t="s">
        <v>42</v>
      </c>
      <c r="E15" s="31">
        <v>15000</v>
      </c>
      <c r="F15" s="31">
        <v>15000</v>
      </c>
      <c r="G15" s="31">
        <v>15000</v>
      </c>
      <c r="H15" s="31">
        <v>0</v>
      </c>
    </row>
    <row r="16" spans="1:8" s="13" customFormat="1" ht="16.5" x14ac:dyDescent="0.25">
      <c r="A16" s="26" t="s">
        <v>55</v>
      </c>
      <c r="B16" s="27" t="s">
        <v>20</v>
      </c>
      <c r="C16" s="27" t="s">
        <v>38</v>
      </c>
      <c r="D16" s="27" t="s">
        <v>42</v>
      </c>
      <c r="E16" s="28">
        <v>10200</v>
      </c>
      <c r="F16" s="28">
        <v>10200</v>
      </c>
      <c r="G16" s="28">
        <v>10200</v>
      </c>
      <c r="H16" s="28">
        <v>0</v>
      </c>
    </row>
    <row r="17" spans="1:11" ht="16.5" x14ac:dyDescent="0.25">
      <c r="A17" s="29" t="s">
        <v>51</v>
      </c>
      <c r="B17" s="30" t="s">
        <v>18</v>
      </c>
      <c r="C17" s="30" t="s">
        <v>38</v>
      </c>
      <c r="D17" s="30" t="s">
        <v>42</v>
      </c>
      <c r="E17" s="31">
        <v>200000</v>
      </c>
      <c r="F17" s="31">
        <v>200000</v>
      </c>
      <c r="G17" s="31">
        <v>200000</v>
      </c>
      <c r="H17" s="31">
        <v>0</v>
      </c>
    </row>
    <row r="18" spans="1:11" s="13" customFormat="1" ht="16.5" x14ac:dyDescent="0.25">
      <c r="A18" s="26" t="s">
        <v>44</v>
      </c>
      <c r="B18" s="27" t="s">
        <v>87</v>
      </c>
      <c r="C18" s="27" t="s">
        <v>38</v>
      </c>
      <c r="D18" s="27" t="s">
        <v>42</v>
      </c>
      <c r="E18" s="28">
        <v>48532</v>
      </c>
      <c r="F18" s="28">
        <v>48532</v>
      </c>
      <c r="G18" s="28">
        <v>48532</v>
      </c>
      <c r="H18" s="28">
        <v>0</v>
      </c>
    </row>
    <row r="19" spans="1:11" ht="16.5" x14ac:dyDescent="0.25">
      <c r="A19" s="29" t="s">
        <v>54</v>
      </c>
      <c r="B19" s="30" t="s">
        <v>57</v>
      </c>
      <c r="C19" s="30" t="s">
        <v>38</v>
      </c>
      <c r="D19" s="30" t="s">
        <v>42</v>
      </c>
      <c r="E19" s="31">
        <v>750000</v>
      </c>
      <c r="F19" s="31">
        <v>750000</v>
      </c>
      <c r="G19" s="31">
        <v>750000</v>
      </c>
      <c r="H19" s="31">
        <v>0</v>
      </c>
    </row>
    <row r="20" spans="1:11" s="13" customFormat="1" ht="16.5" x14ac:dyDescent="0.25">
      <c r="A20" s="26" t="s">
        <v>45</v>
      </c>
      <c r="B20" s="27" t="s">
        <v>50</v>
      </c>
      <c r="C20" s="27" t="s">
        <v>48</v>
      </c>
      <c r="D20" s="27" t="s">
        <v>42</v>
      </c>
      <c r="E20" s="28">
        <v>66000</v>
      </c>
      <c r="F20" s="28">
        <v>66000</v>
      </c>
      <c r="G20" s="28">
        <v>66000</v>
      </c>
      <c r="H20" s="28">
        <v>0</v>
      </c>
    </row>
    <row r="21" spans="1:11" s="13" customFormat="1" ht="16.5" x14ac:dyDescent="0.25">
      <c r="A21" s="29" t="s">
        <v>93</v>
      </c>
      <c r="B21" s="30" t="s">
        <v>22</v>
      </c>
      <c r="C21" s="30" t="s">
        <v>48</v>
      </c>
      <c r="D21" s="30" t="s">
        <v>42</v>
      </c>
      <c r="E21" s="31">
        <v>5000</v>
      </c>
      <c r="F21" s="31">
        <v>5000</v>
      </c>
      <c r="G21" s="31">
        <v>5000</v>
      </c>
      <c r="H21" s="31">
        <v>0</v>
      </c>
    </row>
    <row r="22" spans="1:11" ht="16.5" x14ac:dyDescent="0.25">
      <c r="A22" s="26" t="s">
        <v>43</v>
      </c>
      <c r="B22" s="27" t="s">
        <v>21</v>
      </c>
      <c r="C22" s="27" t="s">
        <v>38</v>
      </c>
      <c r="D22" s="27" t="s">
        <v>42</v>
      </c>
      <c r="E22" s="28">
        <v>70000</v>
      </c>
      <c r="F22" s="28">
        <v>70000</v>
      </c>
      <c r="G22" s="28">
        <v>70000</v>
      </c>
      <c r="H22" s="28">
        <v>0</v>
      </c>
    </row>
    <row r="23" spans="1:11" ht="16.5" x14ac:dyDescent="0.25">
      <c r="E23" s="32">
        <f>SUM(E5:E22)</f>
        <v>2072367</v>
      </c>
      <c r="F23" s="32">
        <f t="shared" ref="F23:H23" si="0">SUM(F5:F22)</f>
        <v>1952521</v>
      </c>
      <c r="G23" s="32">
        <f t="shared" si="0"/>
        <v>1952521</v>
      </c>
      <c r="H23" s="32">
        <f t="shared" si="0"/>
        <v>0</v>
      </c>
    </row>
    <row r="24" spans="1:11" s="13" customFormat="1" ht="16.5" x14ac:dyDescent="0.25">
      <c r="A24" s="33"/>
      <c r="B24" s="33"/>
      <c r="C24" s="33"/>
      <c r="D24" s="33"/>
      <c r="E24" s="34"/>
      <c r="F24" s="34"/>
      <c r="G24" s="34"/>
      <c r="H24" s="34"/>
    </row>
    <row r="25" spans="1:11" s="13" customFormat="1" ht="16.5" x14ac:dyDescent="0.25">
      <c r="A25" s="33"/>
      <c r="B25" s="33"/>
      <c r="C25" s="33"/>
      <c r="D25" s="33"/>
      <c r="E25" s="34"/>
      <c r="F25" s="34"/>
      <c r="G25" s="34"/>
      <c r="H25" s="34"/>
    </row>
    <row r="26" spans="1:11" s="13" customFormat="1" ht="16.5" x14ac:dyDescent="0.25">
      <c r="A26" s="33"/>
      <c r="B26" s="33"/>
      <c r="C26" s="33"/>
      <c r="D26" s="33"/>
      <c r="E26" s="34"/>
      <c r="F26" s="34"/>
      <c r="G26" s="34"/>
      <c r="H26" s="34"/>
      <c r="K26" s="77"/>
    </row>
    <row r="27" spans="1:11" s="13" customFormat="1" x14ac:dyDescent="0.25">
      <c r="A27" s="24" t="s">
        <v>63</v>
      </c>
      <c r="B27" s="25"/>
      <c r="C27" s="25"/>
      <c r="D27" s="25"/>
      <c r="E27" s="24" t="s">
        <v>59</v>
      </c>
      <c r="F27" s="24" t="s">
        <v>60</v>
      </c>
      <c r="G27" s="24" t="s">
        <v>61</v>
      </c>
      <c r="H27" s="24" t="s">
        <v>64</v>
      </c>
    </row>
    <row r="28" spans="1:11" ht="16.5" x14ac:dyDescent="0.25">
      <c r="A28" s="26" t="s">
        <v>46</v>
      </c>
      <c r="B28" s="27" t="s">
        <v>19</v>
      </c>
      <c r="C28" s="27" t="s">
        <v>94</v>
      </c>
      <c r="D28" s="27" t="s">
        <v>39</v>
      </c>
      <c r="E28" s="28">
        <v>792892.85</v>
      </c>
      <c r="F28" s="28">
        <v>792892.85</v>
      </c>
      <c r="G28" s="28">
        <v>0</v>
      </c>
      <c r="H28" s="28">
        <v>792892.85</v>
      </c>
      <c r="J28" s="35"/>
    </row>
    <row r="29" spans="1:11" ht="16.5" x14ac:dyDescent="0.25">
      <c r="A29" s="29" t="s">
        <v>52</v>
      </c>
      <c r="B29" s="30" t="s">
        <v>53</v>
      </c>
      <c r="C29" s="30" t="s">
        <v>38</v>
      </c>
      <c r="D29" s="30" t="s">
        <v>39</v>
      </c>
      <c r="E29" s="31">
        <v>832885</v>
      </c>
      <c r="F29" s="31">
        <v>0</v>
      </c>
      <c r="G29" s="31">
        <v>0</v>
      </c>
      <c r="H29" s="31">
        <v>0</v>
      </c>
    </row>
    <row r="30" spans="1:11" ht="16.5" x14ac:dyDescent="0.25">
      <c r="A30" s="36"/>
      <c r="B30" s="37"/>
      <c r="C30" s="37"/>
      <c r="D30" s="37"/>
      <c r="E30" s="32">
        <f>SUM(E28:E29)</f>
        <v>1625777.85</v>
      </c>
      <c r="F30" s="32">
        <f>SUM(F28:F29)</f>
        <v>792892.85</v>
      </c>
      <c r="G30" s="32">
        <f>SUM(G28:G29)</f>
        <v>0</v>
      </c>
      <c r="H30" s="32">
        <f>SUM(H28:H29)</f>
        <v>792892.85</v>
      </c>
      <c r="I30" s="1" t="s">
        <v>130</v>
      </c>
      <c r="J30" s="35"/>
    </row>
    <row r="31" spans="1:11" x14ac:dyDescent="0.25">
      <c r="J31" s="10"/>
    </row>
    <row r="32" spans="1:11" x14ac:dyDescent="0.25">
      <c r="A32" s="24" t="s">
        <v>62</v>
      </c>
      <c r="B32" s="25"/>
      <c r="C32" s="25"/>
      <c r="D32" s="25"/>
      <c r="E32" s="24" t="s">
        <v>59</v>
      </c>
      <c r="F32" s="24" t="s">
        <v>60</v>
      </c>
      <c r="G32" s="24" t="s">
        <v>61</v>
      </c>
      <c r="H32" s="24" t="s">
        <v>64</v>
      </c>
    </row>
    <row r="33" spans="1:10" ht="16.5" x14ac:dyDescent="0.25">
      <c r="A33" s="29" t="s">
        <v>133</v>
      </c>
      <c r="B33" s="30" t="s">
        <v>132</v>
      </c>
      <c r="C33" s="30" t="s">
        <v>38</v>
      </c>
      <c r="D33" s="30" t="s">
        <v>42</v>
      </c>
      <c r="E33" s="31">
        <v>-185196</v>
      </c>
      <c r="F33" s="31">
        <v>-185196</v>
      </c>
      <c r="G33" s="31">
        <v>-185196</v>
      </c>
      <c r="H33" s="31">
        <v>0</v>
      </c>
    </row>
    <row r="34" spans="1:10" ht="16.5" x14ac:dyDescent="0.25">
      <c r="A34" s="26" t="s">
        <v>113</v>
      </c>
      <c r="B34" s="27" t="s">
        <v>114</v>
      </c>
      <c r="C34" s="27" t="s">
        <v>38</v>
      </c>
      <c r="D34" s="27" t="s">
        <v>42</v>
      </c>
      <c r="E34" s="28">
        <v>-183981.6</v>
      </c>
      <c r="F34" s="28">
        <v>-183981.6</v>
      </c>
      <c r="G34" s="28">
        <v>-183981.6</v>
      </c>
      <c r="H34" s="28">
        <v>0</v>
      </c>
    </row>
    <row r="35" spans="1:10" ht="16.5" x14ac:dyDescent="0.25">
      <c r="A35" s="29" t="s">
        <v>115</v>
      </c>
      <c r="B35" s="30" t="s">
        <v>116</v>
      </c>
      <c r="C35" s="30" t="s">
        <v>38</v>
      </c>
      <c r="D35" s="30" t="s">
        <v>42</v>
      </c>
      <c r="E35" s="31">
        <v>-17906.25</v>
      </c>
      <c r="F35" s="31">
        <v>-17906.25</v>
      </c>
      <c r="G35" s="31">
        <v>-17906.25</v>
      </c>
      <c r="H35" s="31">
        <v>0</v>
      </c>
    </row>
    <row r="36" spans="1:10" ht="16.5" x14ac:dyDescent="0.25">
      <c r="A36" s="26" t="s">
        <v>95</v>
      </c>
      <c r="B36" s="27" t="s">
        <v>90</v>
      </c>
      <c r="C36" s="27" t="s">
        <v>38</v>
      </c>
      <c r="D36" s="27" t="s">
        <v>42</v>
      </c>
      <c r="E36" s="28">
        <v>-6718.75</v>
      </c>
      <c r="F36" s="28">
        <v>-6718.75</v>
      </c>
      <c r="G36" s="28">
        <v>-6718.75</v>
      </c>
      <c r="H36" s="28">
        <v>0</v>
      </c>
    </row>
    <row r="37" spans="1:10" ht="16.5" x14ac:dyDescent="0.25">
      <c r="A37" s="29" t="s">
        <v>37</v>
      </c>
      <c r="B37" s="30" t="s">
        <v>89</v>
      </c>
      <c r="C37" s="30" t="s">
        <v>48</v>
      </c>
      <c r="D37" s="30" t="s">
        <v>42</v>
      </c>
      <c r="E37" s="31">
        <v>-236175</v>
      </c>
      <c r="F37" s="31">
        <v>-236175</v>
      </c>
      <c r="G37" s="31">
        <v>-236175</v>
      </c>
      <c r="H37" s="31">
        <v>0</v>
      </c>
    </row>
    <row r="38" spans="1:10" ht="16.5" x14ac:dyDescent="0.25">
      <c r="A38" s="26" t="s">
        <v>40</v>
      </c>
      <c r="B38" s="27" t="s">
        <v>88</v>
      </c>
      <c r="C38" s="27" t="s">
        <v>38</v>
      </c>
      <c r="D38" s="27" t="s">
        <v>42</v>
      </c>
      <c r="E38" s="28">
        <v>-123727.5</v>
      </c>
      <c r="F38" s="28">
        <v>-123727.5</v>
      </c>
      <c r="G38" s="28">
        <v>-123727.5</v>
      </c>
      <c r="H38" s="28">
        <v>0</v>
      </c>
    </row>
    <row r="39" spans="1:10" ht="16.5" x14ac:dyDescent="0.25">
      <c r="A39" s="29" t="s">
        <v>49</v>
      </c>
      <c r="B39" s="30" t="s">
        <v>86</v>
      </c>
      <c r="C39" s="30" t="s">
        <v>38</v>
      </c>
      <c r="D39" s="30" t="s">
        <v>42</v>
      </c>
      <c r="E39" s="31">
        <v>-742381.25</v>
      </c>
      <c r="F39" s="31">
        <v>-742381.25</v>
      </c>
      <c r="G39" s="31">
        <v>-742381.25</v>
      </c>
      <c r="H39" s="31">
        <v>0</v>
      </c>
    </row>
    <row r="40" spans="1:10" ht="16.5" x14ac:dyDescent="0.25">
      <c r="A40" s="26" t="s">
        <v>56</v>
      </c>
      <c r="B40" s="27" t="s">
        <v>84</v>
      </c>
      <c r="C40" s="27" t="s">
        <v>48</v>
      </c>
      <c r="D40" s="27" t="s">
        <v>42</v>
      </c>
      <c r="E40" s="28">
        <v>-832885</v>
      </c>
      <c r="F40" s="28">
        <v>-832885</v>
      </c>
      <c r="G40" s="28">
        <v>-832885</v>
      </c>
      <c r="H40" s="28">
        <v>0</v>
      </c>
    </row>
    <row r="41" spans="1:10" ht="16.5" x14ac:dyDescent="0.25">
      <c r="A41" s="29" t="s">
        <v>58</v>
      </c>
      <c r="B41" s="30" t="s">
        <v>85</v>
      </c>
      <c r="C41" s="30" t="s">
        <v>38</v>
      </c>
      <c r="D41" s="30" t="s">
        <v>42</v>
      </c>
      <c r="E41" s="31">
        <v>416443</v>
      </c>
      <c r="F41" s="31">
        <v>0</v>
      </c>
      <c r="G41" s="31">
        <v>0</v>
      </c>
      <c r="H41" s="31">
        <v>0</v>
      </c>
    </row>
    <row r="42" spans="1:10" ht="16.5" x14ac:dyDescent="0.25">
      <c r="E42" s="32">
        <f>SUM(E33:E41)</f>
        <v>-1912528.35</v>
      </c>
      <c r="F42" s="32">
        <f t="shared" ref="F42:H42" si="1">SUM(F33:F41)</f>
        <v>-2328971.35</v>
      </c>
      <c r="G42" s="32">
        <f t="shared" si="1"/>
        <v>-2328971.35</v>
      </c>
      <c r="H42" s="32">
        <f t="shared" si="1"/>
        <v>0</v>
      </c>
    </row>
    <row r="43" spans="1:10" x14ac:dyDescent="0.25">
      <c r="E43" s="35"/>
    </row>
    <row r="44" spans="1:10" x14ac:dyDescent="0.25">
      <c r="I44" s="16"/>
      <c r="J44" s="15"/>
    </row>
  </sheetData>
  <pageMargins left="0.7" right="0.7" top="0.75" bottom="0.75" header="0.3" footer="0.3"/>
  <pageSetup scale="52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G21"/>
  <sheetViews>
    <sheetView zoomScale="90" zoomScaleNormal="90" workbookViewId="0">
      <selection activeCell="B25" sqref="B25"/>
    </sheetView>
  </sheetViews>
  <sheetFormatPr defaultRowHeight="15" x14ac:dyDescent="0.25"/>
  <cols>
    <col min="2" max="2" width="87.42578125" bestFit="1" customWidth="1"/>
    <col min="3" max="3" width="13.7109375" style="2" customWidth="1"/>
    <col min="4" max="5" width="14.5703125" style="73" customWidth="1"/>
    <col min="6" max="6" width="17.42578125" style="2" customWidth="1"/>
    <col min="7" max="7" width="12.7109375" customWidth="1"/>
  </cols>
  <sheetData>
    <row r="4" spans="2:7" s="1" customFormat="1" ht="30" x14ac:dyDescent="0.25">
      <c r="B4" s="1" t="s">
        <v>140</v>
      </c>
      <c r="C4" s="21" t="s">
        <v>141</v>
      </c>
      <c r="D4" s="72" t="s">
        <v>142</v>
      </c>
      <c r="E4" s="72" t="s">
        <v>143</v>
      </c>
      <c r="F4" s="66" t="s">
        <v>144</v>
      </c>
    </row>
    <row r="5" spans="2:7" x14ac:dyDescent="0.25">
      <c r="B5" t="s">
        <v>9</v>
      </c>
      <c r="F5" s="2">
        <v>832885</v>
      </c>
    </row>
    <row r="6" spans="2:7" x14ac:dyDescent="0.25">
      <c r="B6" s="3" t="s">
        <v>17</v>
      </c>
      <c r="C6" s="2">
        <v>7.75</v>
      </c>
      <c r="D6" s="73">
        <v>102991</v>
      </c>
      <c r="E6" s="73">
        <f>D6</f>
        <v>102991</v>
      </c>
      <c r="F6" s="2">
        <f t="shared" ref="F6:F13" si="0">D6*C6</f>
        <v>798180.25</v>
      </c>
    </row>
    <row r="7" spans="2:7" x14ac:dyDescent="0.25">
      <c r="B7" t="s">
        <v>33</v>
      </c>
      <c r="C7" s="2">
        <v>0.4</v>
      </c>
      <c r="D7" s="73">
        <f>-(103000+18330)</f>
        <v>-121330</v>
      </c>
      <c r="E7" s="73">
        <f t="shared" ref="E7:E13" si="1">E6+D7</f>
        <v>-18339</v>
      </c>
      <c r="F7" s="2">
        <f t="shared" si="0"/>
        <v>-48532</v>
      </c>
    </row>
    <row r="8" spans="2:7" x14ac:dyDescent="0.25">
      <c r="B8" t="s">
        <v>32</v>
      </c>
      <c r="C8" s="2">
        <v>6.75</v>
      </c>
      <c r="D8" s="73">
        <v>18330</v>
      </c>
      <c r="E8" s="73">
        <f t="shared" si="1"/>
        <v>-9</v>
      </c>
      <c r="F8" s="2">
        <f t="shared" si="0"/>
        <v>123727.5</v>
      </c>
    </row>
    <row r="9" spans="2:7" x14ac:dyDescent="0.25">
      <c r="B9" s="19" t="s">
        <v>35</v>
      </c>
      <c r="C9" s="2">
        <v>6.25</v>
      </c>
      <c r="D9" s="73">
        <v>37788</v>
      </c>
      <c r="E9" s="73">
        <f t="shared" si="1"/>
        <v>37779</v>
      </c>
      <c r="F9" s="2">
        <f t="shared" si="0"/>
        <v>236175</v>
      </c>
    </row>
    <row r="10" spans="2:7" x14ac:dyDescent="0.25">
      <c r="B10" s="38" t="s">
        <v>72</v>
      </c>
      <c r="C10" s="2">
        <v>6.25</v>
      </c>
      <c r="D10" s="73">
        <v>1075</v>
      </c>
      <c r="E10" s="73">
        <f t="shared" si="1"/>
        <v>38854</v>
      </c>
      <c r="F10" s="2">
        <f t="shared" si="0"/>
        <v>6718.75</v>
      </c>
    </row>
    <row r="11" spans="2:7" x14ac:dyDescent="0.25">
      <c r="B11" s="38" t="s">
        <v>101</v>
      </c>
      <c r="C11" s="2">
        <v>6.25</v>
      </c>
      <c r="D11" s="73">
        <v>2865</v>
      </c>
      <c r="E11" s="73">
        <f t="shared" si="1"/>
        <v>41719</v>
      </c>
      <c r="F11" s="2">
        <f t="shared" si="0"/>
        <v>17906.25</v>
      </c>
    </row>
    <row r="12" spans="2:7" x14ac:dyDescent="0.25">
      <c r="B12" s="74" t="s">
        <v>104</v>
      </c>
      <c r="C12" s="2">
        <v>4</v>
      </c>
      <c r="D12" s="73">
        <v>45450</v>
      </c>
      <c r="E12" s="73">
        <f t="shared" si="1"/>
        <v>87169</v>
      </c>
      <c r="F12" s="2">
        <f t="shared" si="0"/>
        <v>181800</v>
      </c>
    </row>
    <row r="13" spans="2:7" x14ac:dyDescent="0.25">
      <c r="B13" s="38" t="s">
        <v>145</v>
      </c>
      <c r="C13" s="2">
        <v>4</v>
      </c>
      <c r="D13" s="73">
        <v>46299</v>
      </c>
      <c r="E13" s="73">
        <f t="shared" si="1"/>
        <v>133468</v>
      </c>
      <c r="F13" s="2">
        <f t="shared" si="0"/>
        <v>185196</v>
      </c>
    </row>
    <row r="14" spans="2:7" x14ac:dyDescent="0.25">
      <c r="B14" s="38" t="s">
        <v>169</v>
      </c>
      <c r="C14" s="2">
        <f>F14/D14</f>
        <v>5.7066153872716603</v>
      </c>
      <c r="D14" s="73">
        <v>115836</v>
      </c>
      <c r="E14" s="73">
        <f>E13+D14</f>
        <v>249304</v>
      </c>
      <c r="F14" s="2">
        <v>661031.5</v>
      </c>
      <c r="G14" t="s">
        <v>168</v>
      </c>
    </row>
    <row r="17" spans="2:6" x14ac:dyDescent="0.25">
      <c r="B17" s="75" t="s">
        <v>146</v>
      </c>
      <c r="C17" s="45"/>
      <c r="D17" s="76"/>
      <c r="E17" s="76"/>
      <c r="F17" s="45"/>
    </row>
    <row r="18" spans="2:6" x14ac:dyDescent="0.25">
      <c r="B18" s="48" t="s">
        <v>147</v>
      </c>
      <c r="C18" s="45">
        <v>0.4</v>
      </c>
      <c r="D18" s="76">
        <f>E14</f>
        <v>249304</v>
      </c>
      <c r="E18" s="76"/>
      <c r="F18" s="45">
        <f>D18*C18</f>
        <v>99721.600000000006</v>
      </c>
    </row>
    <row r="19" spans="2:6" x14ac:dyDescent="0.25">
      <c r="B19" s="48" t="s">
        <v>148</v>
      </c>
      <c r="C19" s="45">
        <v>0.8</v>
      </c>
      <c r="D19" s="76">
        <f>E14</f>
        <v>249304</v>
      </c>
      <c r="E19" s="76"/>
      <c r="F19" s="45">
        <f>D19*C19</f>
        <v>199443.20000000001</v>
      </c>
    </row>
    <row r="20" spans="2:6" x14ac:dyDescent="0.25">
      <c r="B20" s="44" t="s">
        <v>170</v>
      </c>
      <c r="C20" s="45">
        <v>3</v>
      </c>
      <c r="D20" s="76">
        <f>E14</f>
        <v>249304</v>
      </c>
      <c r="E20" s="76"/>
      <c r="F20" s="45">
        <f>D20*C20</f>
        <v>747912</v>
      </c>
    </row>
    <row r="21" spans="2:6" x14ac:dyDescent="0.25">
      <c r="B21" s="44" t="s">
        <v>171</v>
      </c>
      <c r="C21" s="45">
        <v>5</v>
      </c>
      <c r="D21" s="76">
        <f>E14</f>
        <v>249304</v>
      </c>
      <c r="E21" s="76"/>
      <c r="F21" s="45">
        <f>D21*C21</f>
        <v>1246520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CC Projects</vt:lpstr>
      <vt:lpstr>Matching to PRV System </vt:lpstr>
      <vt:lpstr>Carbon Credits Sold</vt:lpstr>
    </vt:vector>
  </TitlesOfParts>
  <Company>University of Illinois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Morgan Johnston</dc:creator>
  <cp:lastModifiedBy>Ago, Kejsi (FandS)</cp:lastModifiedBy>
  <cp:lastPrinted>2018-01-18T17:54:41Z</cp:lastPrinted>
  <dcterms:created xsi:type="dcterms:W3CDTF">2016-05-18T13:32:55Z</dcterms:created>
  <dcterms:modified xsi:type="dcterms:W3CDTF">2023-02-01T14:54:49Z</dcterms:modified>
</cp:coreProperties>
</file>